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elormittal-my.sharepoint.com/personal/lynn_bester_arcelormittal_com/Documents/Desktop/"/>
    </mc:Choice>
  </mc:AlternateContent>
  <xr:revisionPtr revIDLastSave="0" documentId="14_{6CC1141F-95F2-4A7A-87F8-2BB14C8FEB3B}" xr6:coauthVersionLast="47" xr6:coauthVersionMax="47" xr10:uidLastSave="{00000000-0000-0000-0000-000000000000}"/>
  <bookViews>
    <workbookView xWindow="-11940" yWindow="-21720" windowWidth="51840" windowHeight="21120" tabRatio="229" xr2:uid="{47993E78-C105-4CCB-B7AB-23820E9C513C}"/>
  </bookViews>
  <sheets>
    <sheet name="Share buyback program SBB " sheetId="1" r:id="rId1"/>
    <sheet name="SBB cash" sheetId="5" r:id="rId2"/>
    <sheet name="Shares issued, TS &amp; outstanding" sheetId="3" r:id="rId3"/>
    <sheet name="EPS" sheetId="7" r:id="rId4"/>
  </sheets>
  <definedNames>
    <definedName name="_xlnm.Print_Area" localSheetId="3">EPS!$A$1:$AQ$19</definedName>
    <definedName name="_xlnm.Print_Area" localSheetId="0">'Share buyback program SBB '!$A$1:$H$163</definedName>
    <definedName name="_xlnm.Print_Area" localSheetId="2">'Shares issued, TS &amp; outstanding'!$A$1:$F$79</definedName>
    <definedName name="SpreadsheetBuilder_2" hidden="1">#REF!</definedName>
    <definedName name="SpreadsheetBuilder_3" hidden="1">#REF!</definedName>
    <definedName name="SpreadsheetBuilder_4" hidden="1">#REF!</definedName>
    <definedName name="SpreadsheetBuilder_5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0" i="7" l="1"/>
  <c r="AP12" i="7" s="1"/>
  <c r="AO10" i="7"/>
  <c r="AO12" i="7" s="1"/>
  <c r="AN10" i="7"/>
  <c r="AN15" i="7" s="1"/>
  <c r="AN16" i="7" s="1"/>
  <c r="AM10" i="7"/>
  <c r="AM15" i="7" s="1"/>
  <c r="AL10" i="7"/>
  <c r="AL15" i="7" s="1"/>
  <c r="AP16" i="7" l="1"/>
  <c r="AO16" i="7"/>
  <c r="AL12" i="7"/>
  <c r="AL16" i="7" s="1"/>
  <c r="AN12" i="7"/>
  <c r="AM12" i="7"/>
  <c r="AM16" i="7" s="1"/>
  <c r="AO15" i="7"/>
  <c r="AP15" i="7"/>
  <c r="E74" i="3" l="1"/>
  <c r="D73" i="3"/>
  <c r="C75" i="3"/>
  <c r="E44" i="5"/>
  <c r="D42" i="5"/>
  <c r="E8" i="1"/>
  <c r="G8" i="1" s="1"/>
  <c r="E7" i="1"/>
  <c r="G7" i="1" s="1"/>
  <c r="E6" i="1"/>
  <c r="G6" i="1" s="1"/>
  <c r="E5" i="1"/>
  <c r="G5" i="1" s="1"/>
  <c r="G9" i="1"/>
  <c r="E9" i="1"/>
  <c r="D70" i="3"/>
  <c r="G11" i="1"/>
  <c r="G12" i="1"/>
  <c r="G13" i="1"/>
  <c r="AG3" i="7"/>
  <c r="AH10" i="7"/>
  <c r="AH15" i="7" s="1"/>
  <c r="AH16" i="7" s="1"/>
  <c r="E73" i="3" l="1"/>
  <c r="AH12" i="7"/>
  <c r="E71" i="3" l="1"/>
  <c r="D157" i="1"/>
  <c r="E14" i="1"/>
  <c r="G14" i="1" s="1"/>
  <c r="E15" i="1"/>
  <c r="G15" i="1" s="1"/>
  <c r="E70" i="3" l="1"/>
  <c r="D67" i="3"/>
  <c r="E17" i="1"/>
  <c r="G17" i="1" s="1"/>
  <c r="E18" i="1"/>
  <c r="G18" i="1" s="1"/>
  <c r="AI10" i="7"/>
  <c r="AI15" i="7" s="1"/>
  <c r="AG10" i="7"/>
  <c r="AG12" i="7" s="1"/>
  <c r="AG16" i="7" s="1"/>
  <c r="AI12" i="7" l="1"/>
  <c r="AI16" i="7" s="1"/>
  <c r="AG15" i="7"/>
  <c r="E67" i="3"/>
  <c r="E68" i="3"/>
  <c r="E25" i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E19" i="1"/>
  <c r="G19" i="1" l="1"/>
  <c r="D64" i="3"/>
  <c r="E30" i="1"/>
  <c r="G30" i="1" s="1"/>
  <c r="E29" i="1"/>
  <c r="G29" i="1" s="1"/>
  <c r="E28" i="1"/>
  <c r="G28" i="1" s="1"/>
  <c r="E27" i="1"/>
  <c r="G27" i="1" s="1"/>
  <c r="AF10" i="7" l="1"/>
  <c r="AF16" i="7" s="1"/>
  <c r="AJ10" i="7"/>
  <c r="AJ12" i="7" s="1"/>
  <c r="AJ16" i="7" s="1"/>
  <c r="AJ15" i="7" l="1"/>
  <c r="AF15" i="7"/>
  <c r="AE3" i="7"/>
  <c r="E64" i="3" l="1"/>
  <c r="E34" i="1"/>
  <c r="G34" i="1" s="1"/>
  <c r="E33" i="1"/>
  <c r="G33" i="1" s="1"/>
  <c r="E32" i="1"/>
  <c r="G32" i="1" s="1"/>
  <c r="E31" i="1"/>
  <c r="G31" i="1" l="1"/>
  <c r="E65" i="3"/>
  <c r="AE10" i="7" l="1"/>
  <c r="AE12" i="7" s="1"/>
  <c r="D61" i="3"/>
  <c r="E39" i="1"/>
  <c r="G39" i="1" s="1"/>
  <c r="E38" i="1"/>
  <c r="G38" i="1" s="1"/>
  <c r="E37" i="1"/>
  <c r="G37" i="1" s="1"/>
  <c r="E36" i="1"/>
  <c r="G36" i="1" l="1"/>
  <c r="AE16" i="7"/>
  <c r="AE15" i="7"/>
  <c r="E43" i="1" l="1"/>
  <c r="G43" i="1" s="1"/>
  <c r="E42" i="1"/>
  <c r="G42" i="1" s="1"/>
  <c r="E41" i="1"/>
  <c r="G41" i="1" s="1"/>
  <c r="E40" i="1"/>
  <c r="E62" i="3"/>
  <c r="E44" i="1"/>
  <c r="G44" i="1" s="1"/>
  <c r="E48" i="1"/>
  <c r="G48" i="1" s="1"/>
  <c r="E47" i="1"/>
  <c r="G47" i="1" s="1"/>
  <c r="E46" i="1"/>
  <c r="G46" i="1" s="1"/>
  <c r="E45" i="1"/>
  <c r="G45" i="1" s="1"/>
  <c r="G40" i="1" l="1"/>
  <c r="E61" i="3"/>
  <c r="C51" i="1" l="1"/>
  <c r="E51" i="1" s="1"/>
  <c r="G51" i="1" s="1"/>
  <c r="C50" i="1"/>
  <c r="C52" i="1"/>
  <c r="E50" i="1" l="1"/>
  <c r="G50" i="1" l="1"/>
  <c r="AD8" i="7"/>
  <c r="AD5" i="7"/>
  <c r="D36" i="5"/>
  <c r="AC10" i="7"/>
  <c r="AC15" i="7" s="1"/>
  <c r="E59" i="3"/>
  <c r="C53" i="1"/>
  <c r="C54" i="1"/>
  <c r="E52" i="1"/>
  <c r="E31" i="5"/>
  <c r="C157" i="1" l="1"/>
  <c r="AD10" i="7"/>
  <c r="AD15" i="7" s="1"/>
  <c r="E53" i="1"/>
  <c r="G53" i="1" s="1"/>
  <c r="G52" i="1"/>
  <c r="AC12" i="7"/>
  <c r="AC16" i="7" s="1"/>
  <c r="AD12" i="7"/>
  <c r="AD16" i="7" s="1"/>
  <c r="E54" i="1"/>
  <c r="G54" i="1" s="1"/>
  <c r="AA10" i="7"/>
  <c r="AA15" i="7" s="1"/>
  <c r="E56" i="3"/>
  <c r="D33" i="5"/>
  <c r="E58" i="1"/>
  <c r="G58" i="1" s="1"/>
  <c r="E57" i="1"/>
  <c r="G57" i="1" s="1"/>
  <c r="E56" i="1"/>
  <c r="V10" i="7"/>
  <c r="V12" i="7" s="1"/>
  <c r="T10" i="7"/>
  <c r="T12" i="7" s="1"/>
  <c r="S10" i="7"/>
  <c r="S12" i="7" s="1"/>
  <c r="R10" i="7"/>
  <c r="R12" i="7" s="1"/>
  <c r="Q10" i="7"/>
  <c r="Q12" i="7" s="1"/>
  <c r="Y10" i="7"/>
  <c r="Y12" i="7" s="1"/>
  <c r="C35" i="3"/>
  <c r="C40" i="3" s="1"/>
  <c r="E53" i="3"/>
  <c r="E52" i="3"/>
  <c r="E51" i="3"/>
  <c r="D58" i="3" l="1"/>
  <c r="E58" i="3" s="1"/>
  <c r="D55" i="3"/>
  <c r="E55" i="3" s="1"/>
  <c r="G56" i="1"/>
  <c r="AA12" i="7"/>
  <c r="AA16" i="7" s="1"/>
  <c r="D50" i="3"/>
  <c r="E50" i="3" s="1"/>
  <c r="E60" i="1" l="1"/>
  <c r="E61" i="1"/>
  <c r="G61" i="1" s="1"/>
  <c r="E62" i="1"/>
  <c r="G62" i="1" s="1"/>
  <c r="E63" i="1"/>
  <c r="G63" i="1" s="1"/>
  <c r="Y15" i="7"/>
  <c r="G60" i="1" l="1"/>
  <c r="Y16" i="7"/>
  <c r="E48" i="3"/>
  <c r="D47" i="3"/>
  <c r="E65" i="1" l="1"/>
  <c r="G65" i="1" l="1"/>
  <c r="U5" i="7"/>
  <c r="U10" i="7" s="1"/>
  <c r="E47" i="3"/>
  <c r="E66" i="1"/>
  <c r="E67" i="1"/>
  <c r="G67" i="1" s="1"/>
  <c r="E68" i="1"/>
  <c r="G68" i="1" s="1"/>
  <c r="E69" i="1"/>
  <c r="G69" i="1" s="1"/>
  <c r="E70" i="1"/>
  <c r="G70" i="1" s="1"/>
  <c r="E71" i="1"/>
  <c r="G71" i="1" s="1"/>
  <c r="G66" i="1" l="1"/>
  <c r="W5" i="7"/>
  <c r="W10" i="7" s="1"/>
  <c r="W12" i="7" s="1"/>
  <c r="V15" i="7"/>
  <c r="W15" i="7" l="1"/>
  <c r="V16" i="7"/>
  <c r="E45" i="3"/>
  <c r="D28" i="5"/>
  <c r="E72" i="1"/>
  <c r="E73" i="1"/>
  <c r="G73" i="1" s="1"/>
  <c r="E74" i="1"/>
  <c r="G74" i="1" s="1"/>
  <c r="E75" i="1"/>
  <c r="G75" i="1" s="1"/>
  <c r="E76" i="1"/>
  <c r="G76" i="1" s="1"/>
  <c r="G72" i="1" l="1"/>
  <c r="W16" i="7"/>
  <c r="E77" i="1"/>
  <c r="C43" i="3"/>
  <c r="U15" i="7"/>
  <c r="U11" i="7"/>
  <c r="U12" i="7" s="1"/>
  <c r="C46" i="3" l="1"/>
  <c r="C49" i="3" s="1"/>
  <c r="C54" i="3" s="1"/>
  <c r="C57" i="3" s="1"/>
  <c r="C60" i="3" s="1"/>
  <c r="C63" i="3" s="1"/>
  <c r="C66" i="3" s="1"/>
  <c r="C69" i="3" s="1"/>
  <c r="C72" i="3" s="1"/>
  <c r="G77" i="1"/>
  <c r="U16" i="7"/>
  <c r="E78" i="1" l="1"/>
  <c r="E42" i="3"/>
  <c r="G78" i="1" l="1"/>
  <c r="D36" i="3"/>
  <c r="E23" i="5"/>
  <c r="E79" i="1"/>
  <c r="E80" i="1"/>
  <c r="G80" i="1" s="1"/>
  <c r="E81" i="1"/>
  <c r="G81" i="1" s="1"/>
  <c r="E82" i="1"/>
  <c r="E83" i="1"/>
  <c r="G83" i="1" s="1"/>
  <c r="E84" i="1"/>
  <c r="G84" i="1" s="1"/>
  <c r="E85" i="1"/>
  <c r="G85" i="1" s="1"/>
  <c r="E87" i="1"/>
  <c r="G87" i="1" s="1"/>
  <c r="T15" i="7" l="1"/>
  <c r="D41" i="3"/>
  <c r="D44" i="3" s="1"/>
  <c r="E44" i="3" s="1"/>
  <c r="G82" i="1"/>
  <c r="S16" i="7"/>
  <c r="S15" i="7"/>
  <c r="R16" i="7"/>
  <c r="R15" i="7"/>
  <c r="G79" i="1"/>
  <c r="T16" i="7"/>
  <c r="D39" i="3"/>
  <c r="E41" i="3" l="1"/>
  <c r="E39" i="3"/>
  <c r="E37" i="3"/>
  <c r="G95" i="1"/>
  <c r="G94" i="1"/>
  <c r="G93" i="1"/>
  <c r="G91" i="1"/>
  <c r="G90" i="1"/>
  <c r="G89" i="1"/>
  <c r="E88" i="1"/>
  <c r="G88" i="1" l="1"/>
  <c r="N3" i="7"/>
  <c r="L3" i="7" l="1"/>
  <c r="D50" i="5" l="1"/>
  <c r="D22" i="5"/>
  <c r="E22" i="5" s="1"/>
  <c r="D4" i="3"/>
  <c r="C4" i="3"/>
  <c r="E5" i="3"/>
  <c r="D24" i="5" l="1"/>
  <c r="E36" i="3"/>
  <c r="D38" i="3"/>
  <c r="E38" i="3" s="1"/>
  <c r="E32" i="3" l="1"/>
  <c r="E33" i="3"/>
  <c r="E17" i="5" l="1"/>
  <c r="D16" i="5"/>
  <c r="D18" i="5" s="1"/>
  <c r="D9" i="5"/>
  <c r="E8" i="5"/>
  <c r="E6" i="5"/>
  <c r="E4" i="5"/>
  <c r="D12" i="5" l="1"/>
  <c r="E16" i="5"/>
  <c r="D10" i="5"/>
  <c r="D11" i="3"/>
  <c r="D45" i="5" l="1"/>
  <c r="D14" i="5"/>
  <c r="E12" i="5"/>
  <c r="E45" i="5" s="1"/>
  <c r="D28" i="3"/>
  <c r="E22" i="3"/>
  <c r="E19" i="3"/>
  <c r="E21" i="3"/>
  <c r="D24" i="3"/>
  <c r="E24" i="3" s="1"/>
  <c r="E26" i="3" l="1"/>
  <c r="E29" i="3"/>
  <c r="E28" i="3"/>
  <c r="E6" i="3"/>
  <c r="E4" i="3"/>
  <c r="E9" i="3" l="1"/>
  <c r="E8" i="3"/>
  <c r="E7" i="3"/>
  <c r="E34" i="3"/>
  <c r="D31" i="3"/>
  <c r="D35" i="3" s="1"/>
  <c r="D40" i="3" s="1"/>
  <c r="D43" i="3" s="1"/>
  <c r="D46" i="3" s="1"/>
  <c r="D49" i="3" s="1"/>
  <c r="D30" i="3"/>
  <c r="E30" i="3" s="1"/>
  <c r="D27" i="3"/>
  <c r="E27" i="3" s="1"/>
  <c r="E20" i="3"/>
  <c r="E23" i="3"/>
  <c r="D25" i="3"/>
  <c r="E25" i="3" s="1"/>
  <c r="E17" i="3"/>
  <c r="E18" i="3"/>
  <c r="E15" i="3"/>
  <c r="E16" i="3"/>
  <c r="E14" i="3"/>
  <c r="E13" i="3"/>
  <c r="E12" i="3"/>
  <c r="E11" i="3"/>
  <c r="E10" i="3"/>
  <c r="E3" i="3"/>
  <c r="E2" i="3"/>
  <c r="G7" i="3" l="1"/>
  <c r="H7" i="3" s="1"/>
  <c r="D54" i="3"/>
  <c r="D57" i="3" s="1"/>
  <c r="D60" i="3" s="1"/>
  <c r="D63" i="3" s="1"/>
  <c r="D66" i="3" s="1"/>
  <c r="D69" i="3" s="1"/>
  <c r="D72" i="3" s="1"/>
  <c r="D75" i="3" s="1"/>
  <c r="E31" i="3"/>
  <c r="E35" i="3" s="1"/>
  <c r="E40" i="3" s="1"/>
  <c r="E43" i="3" s="1"/>
  <c r="E46" i="3" s="1"/>
  <c r="X5" i="7" l="1"/>
  <c r="E49" i="3"/>
  <c r="G104" i="1"/>
  <c r="G103" i="1"/>
  <c r="G102" i="1"/>
  <c r="G101" i="1"/>
  <c r="G100" i="1"/>
  <c r="G99" i="1"/>
  <c r="G98" i="1"/>
  <c r="G97" i="1"/>
  <c r="G96" i="1"/>
  <c r="E144" i="1"/>
  <c r="E143" i="1"/>
  <c r="E142" i="1"/>
  <c r="E141" i="1"/>
  <c r="E140" i="1"/>
  <c r="E139" i="1"/>
  <c r="E138" i="1"/>
  <c r="E137" i="1"/>
  <c r="E136" i="1"/>
  <c r="E135" i="1"/>
  <c r="E54" i="3" l="1"/>
  <c r="E57" i="3" s="1"/>
  <c r="E60" i="3" s="1"/>
  <c r="Z5" i="7"/>
  <c r="X10" i="7"/>
  <c r="E149" i="1"/>
  <c r="E148" i="1"/>
  <c r="E147" i="1"/>
  <c r="E146" i="1"/>
  <c r="G155" i="1"/>
  <c r="G154" i="1"/>
  <c r="G153" i="1"/>
  <c r="G152" i="1"/>
  <c r="G151" i="1"/>
  <c r="E157" i="1" l="1"/>
  <c r="E63" i="3"/>
  <c r="E66" i="3" s="1"/>
  <c r="Z10" i="7"/>
  <c r="Z12" i="7" s="1"/>
  <c r="Z16" i="7" s="1"/>
  <c r="AB10" i="7"/>
  <c r="X12" i="7"/>
  <c r="X16" i="7" s="1"/>
  <c r="X15" i="7"/>
  <c r="G149" i="1"/>
  <c r="G148" i="1"/>
  <c r="G147" i="1"/>
  <c r="G146" i="1"/>
  <c r="G144" i="1"/>
  <c r="G143" i="1"/>
  <c r="G142" i="1"/>
  <c r="G141" i="1"/>
  <c r="G140" i="1"/>
  <c r="G139" i="1"/>
  <c r="G138" i="1"/>
  <c r="G137" i="1"/>
  <c r="G136" i="1"/>
  <c r="G135" i="1"/>
  <c r="G133" i="1"/>
  <c r="G132" i="1"/>
  <c r="G131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2" i="1"/>
  <c r="G111" i="1"/>
  <c r="G110" i="1"/>
  <c r="G109" i="1"/>
  <c r="G108" i="1"/>
  <c r="G107" i="1"/>
  <c r="G106" i="1"/>
  <c r="G157" i="1" l="1"/>
  <c r="H157" i="1" s="1"/>
  <c r="E69" i="3"/>
  <c r="Z15" i="7"/>
  <c r="AB15" i="7"/>
  <c r="AB12" i="7"/>
  <c r="AB16" i="7" s="1"/>
  <c r="E72" i="3" l="1"/>
  <c r="AK5" i="7" l="1"/>
  <c r="AK10" i="7" s="1"/>
  <c r="E75" i="3"/>
  <c r="AK15" i="7" l="1"/>
  <c r="AK12" i="7"/>
  <c r="AK1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SCHUMACHER Laurent</author>
  </authors>
  <commentList>
    <comment ref="G5" authorId="0" shapeId="0" xr:uid="{6B226903-3C8A-4097-A2F3-0D2D3BF0CB47}">
      <text>
        <r>
          <rPr>
            <sz val="9"/>
            <color indexed="81"/>
            <rFont val="Tahoma"/>
            <family val="2"/>
          </rPr>
          <t>Payable end of March, paid early April</t>
        </r>
      </text>
    </comment>
    <comment ref="G6" authorId="0" shapeId="0" xr:uid="{4E01EEDC-FFF3-41B7-8CD0-5E5285CC6F11}">
      <text>
        <r>
          <rPr>
            <sz val="9"/>
            <color indexed="81"/>
            <rFont val="Tahoma"/>
            <family val="2"/>
          </rPr>
          <t>A portion paid during March and the remaining paid early April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SCHUMACHER Laurent</author>
  </authors>
  <commentList>
    <comment ref="B48" authorId="0" shapeId="0" xr:uid="{D52C1294-1AB9-4412-99E7-3F4427D6CA77}">
      <text>
        <r>
          <rPr>
            <b/>
            <sz val="9"/>
            <color indexed="81"/>
            <rFont val="Tahoma"/>
            <family val="2"/>
          </rPr>
          <t>Mandatory convertible notes</t>
        </r>
        <r>
          <rPr>
            <sz val="9"/>
            <color indexed="81"/>
            <rFont val="Tahoma"/>
            <family val="2"/>
          </rPr>
          <t xml:space="preserve">
On December 23, 2021, ArcelorMittal signed separate, privately negotiated exchange agreements with a limited number of holders of the MCNs redeeming $395 million in aggregate principal amount of MCNs at the minimum conversion ratio for an aggregate cash consideration of $1,196 million including a premium of $28 million. Following completion of the repurchases, $608 million aggregate principal amount of the MCNs remained outstanding as of December 31, 2021. See note 11.2 to the consolidated financial statements of the annual report 2021</t>
        </r>
      </text>
    </comment>
  </commentList>
</comments>
</file>

<file path=xl/sharedStrings.xml><?xml version="1.0" encoding="utf-8"?>
<sst xmlns="http://schemas.openxmlformats.org/spreadsheetml/2006/main" count="403" uniqueCount="361">
  <si>
    <t>ARCELORMITTAL - Share Buy Back (SBB) Monthly update (amounts are in Euros)</t>
  </si>
  <si>
    <t>Date</t>
  </si>
  <si>
    <t>Market</t>
  </si>
  <si>
    <t>Significant shareholder</t>
  </si>
  <si>
    <t># shares</t>
  </si>
  <si>
    <t>Price/share € (weekly average)</t>
  </si>
  <si>
    <t>Total €</t>
  </si>
  <si>
    <t>Average €</t>
  </si>
  <si>
    <t xml:space="preserve">26/30 September </t>
  </si>
  <si>
    <t>19/23 September</t>
  </si>
  <si>
    <t>12/16 September</t>
  </si>
  <si>
    <t>5/9 September</t>
  </si>
  <si>
    <t>29 Aug/2 Sept</t>
  </si>
  <si>
    <t>22/26 August</t>
  </si>
  <si>
    <t>15/19 August</t>
  </si>
  <si>
    <t>08/12 August</t>
  </si>
  <si>
    <t>01/05 August</t>
  </si>
  <si>
    <t>SBB $1b (Q2'22)</t>
  </si>
  <si>
    <t>6/8 June</t>
  </si>
  <si>
    <t>31 May/3 June</t>
  </si>
  <si>
    <t>23/27 May</t>
  </si>
  <si>
    <t>16/20 May</t>
  </si>
  <si>
    <t>09/13 May</t>
  </si>
  <si>
    <t>SBB $1b (split Q1/Q2'22)</t>
  </si>
  <si>
    <t>25/29 Apr</t>
  </si>
  <si>
    <t>18/22 Apr</t>
  </si>
  <si>
    <t>11/15 Apr</t>
  </si>
  <si>
    <t>04/08 Apr</t>
  </si>
  <si>
    <t>April 1</t>
  </si>
  <si>
    <t>28/31 Mar</t>
  </si>
  <si>
    <t>21/25 Mar</t>
  </si>
  <si>
    <t>14/18 Mar</t>
  </si>
  <si>
    <t>07/11 Mar</t>
  </si>
  <si>
    <t>28 Feb / 04 Mar</t>
  </si>
  <si>
    <t>21/25 Feb</t>
  </si>
  <si>
    <t>14/18 Feb</t>
  </si>
  <si>
    <t>SBB $1b (Q4'21 full)</t>
  </si>
  <si>
    <t>17/19 Nov</t>
  </si>
  <si>
    <t>22/26 Nov</t>
  </si>
  <si>
    <t>29 Nov/3 Dec</t>
  </si>
  <si>
    <t>3/10 Dec</t>
  </si>
  <si>
    <t>13/17 Dec</t>
  </si>
  <si>
    <t>20/24 Dec</t>
  </si>
  <si>
    <t>27/28 Dec</t>
  </si>
  <si>
    <t>SBB $2.2b (split Q3/Q4 2021)</t>
  </si>
  <si>
    <t>05 / 06 August</t>
  </si>
  <si>
    <t>09 / 13 August</t>
  </si>
  <si>
    <t>16 / 20 August</t>
  </si>
  <si>
    <t>23 / 27 August</t>
  </si>
  <si>
    <t>30 August / 03 Sept</t>
  </si>
  <si>
    <t>06 / 10 Sept.</t>
  </si>
  <si>
    <t>13 / 17 Sept.</t>
  </si>
  <si>
    <t>20 / 24 Sept.</t>
  </si>
  <si>
    <t>27 /01 Oct.</t>
  </si>
  <si>
    <t>04 / 08 Oct.</t>
  </si>
  <si>
    <t>11 / 15 Oct.</t>
  </si>
  <si>
    <t>18 / 22 Oct.</t>
  </si>
  <si>
    <t>25/29 Oct.</t>
  </si>
  <si>
    <t>02/05 Nov.</t>
  </si>
  <si>
    <t>08/12 Nov.</t>
  </si>
  <si>
    <t>15/16 Nov.</t>
  </si>
  <si>
    <t>SBB $750m (split Q2/Q3 2021)</t>
  </si>
  <si>
    <t>21/25 June</t>
  </si>
  <si>
    <t>28/02 July</t>
  </si>
  <si>
    <t>05 July</t>
  </si>
  <si>
    <t>SBB $570m (Q2'21 full)</t>
  </si>
  <si>
    <t>12 / 16 April</t>
  </si>
  <si>
    <t>19 / 23 April</t>
  </si>
  <si>
    <t>26 / 30 April</t>
  </si>
  <si>
    <t>03 / 07 May</t>
  </si>
  <si>
    <t>10 / 17 May</t>
  </si>
  <si>
    <t>17/21 May</t>
  </si>
  <si>
    <t>24 / 28 May</t>
  </si>
  <si>
    <t>31 /04 June</t>
  </si>
  <si>
    <t>07 / 11 June</t>
  </si>
  <si>
    <t>14 / 18 June</t>
  </si>
  <si>
    <t>SBB $650m (Q1'21 full)</t>
  </si>
  <si>
    <t>15 / 19 Feb.</t>
  </si>
  <si>
    <t>22 /26 Feb.</t>
  </si>
  <si>
    <t>01 / 03 March</t>
  </si>
  <si>
    <t>SBB $500m (Q3/Q4 2020)</t>
  </si>
  <si>
    <t>28 Sep / 02 Oct</t>
  </si>
  <si>
    <t>05 / 09 Oct</t>
  </si>
  <si>
    <t>12 / 16 Oct</t>
  </si>
  <si>
    <t>19 / 23 Oct</t>
  </si>
  <si>
    <t>26 / 30 Oct</t>
  </si>
  <si>
    <t>Total/average</t>
  </si>
  <si>
    <t>Notes:</t>
  </si>
  <si>
    <t>Date of transaction and not date of payment. There could be some timing on payables at the end of each month</t>
  </si>
  <si>
    <t>Link to ArcelorMittal SBB webpage:</t>
  </si>
  <si>
    <t>Share buyback program | ArcelorMittal</t>
  </si>
  <si>
    <t>SBB cash per quarter</t>
  </si>
  <si>
    <t>Periods</t>
  </si>
  <si>
    <t>M$/quarter</t>
  </si>
  <si>
    <t>Total M$/SBB</t>
  </si>
  <si>
    <t>SBB $500m (split Q3/Q4 2020)</t>
  </si>
  <si>
    <t>Q3'2020 CFS</t>
  </si>
  <si>
    <t>ER Q3'20</t>
  </si>
  <si>
    <t>Q4'2020 CFS</t>
  </si>
  <si>
    <t>ER Q4'20</t>
  </si>
  <si>
    <t>Q1'2021 CFS</t>
  </si>
  <si>
    <t>ER Q1'21</t>
  </si>
  <si>
    <t>Q2'2021 CFS</t>
  </si>
  <si>
    <t>ER Q2'21</t>
  </si>
  <si>
    <t>Total Q2'2021</t>
  </si>
  <si>
    <t>Q3'2021 CFS</t>
  </si>
  <si>
    <t>ER Q3'21</t>
  </si>
  <si>
    <t>Total Q3'2021</t>
  </si>
  <si>
    <t>Q4'2021 CFS</t>
  </si>
  <si>
    <t>SBB $1b (Q4 2021 full)</t>
  </si>
  <si>
    <t>Total Q4'2021</t>
  </si>
  <si>
    <t>ER Q4'21</t>
  </si>
  <si>
    <t>1st SBB $1b (Q1 2022 split Q1/Q2 2022)</t>
  </si>
  <si>
    <t>Q1'2022 CFS</t>
  </si>
  <si>
    <t>ER Q1'22</t>
  </si>
  <si>
    <t>1st SBB $1b (Q2 2022 split Q1/Q2 2022)</t>
  </si>
  <si>
    <t>Q2'2022 CFS</t>
  </si>
  <si>
    <t>ER Q2'22</t>
  </si>
  <si>
    <t>2nd SBB $1b (Q2 2022 full)</t>
  </si>
  <si>
    <t>Total Q2'2022</t>
  </si>
  <si>
    <t>Q3'2022 CFS</t>
  </si>
  <si>
    <t>Mandatory convertible notes (MCN), partial redeemption of Dec. 23, 2021</t>
  </si>
  <si>
    <t>Dividends paid to ArcelorMittal shareholders in 2021</t>
  </si>
  <si>
    <t>Annual report December 2021</t>
  </si>
  <si>
    <t>Number of shares (end of period)</t>
  </si>
  <si>
    <t>Shares 
issued</t>
  </si>
  <si>
    <t>Treasury
shares (TS)</t>
  </si>
  <si>
    <t>Shares 
outstanding</t>
  </si>
  <si>
    <t>December 2019</t>
  </si>
  <si>
    <t>Others</t>
  </si>
  <si>
    <t>March 2020</t>
  </si>
  <si>
    <t>Capital increase May 2020</t>
  </si>
  <si>
    <t>June 2020</t>
  </si>
  <si>
    <t>SBB $500m (Q3 2020 part)</t>
  </si>
  <si>
    <t>September 2020</t>
  </si>
  <si>
    <t>SBB $500m (Q4 2020 part)</t>
  </si>
  <si>
    <t>MCN partial reimbursments</t>
  </si>
  <si>
    <t>December 2020</t>
  </si>
  <si>
    <t>March 2021</t>
  </si>
  <si>
    <t>SBB $570m (Q2 2021 part)</t>
  </si>
  <si>
    <t>SBB $750m (Q2 2021 part)</t>
  </si>
  <si>
    <t>June 2021</t>
  </si>
  <si>
    <t>SBB $750m (Q3 2021 part)</t>
  </si>
  <si>
    <t>SBB $2.2b (Q3 2021 part)</t>
  </si>
  <si>
    <t>Cancellation 70m shares (August 4, 2021)</t>
  </si>
  <si>
    <t>Cancellation 50m shares (Sept. 22, 2021)</t>
  </si>
  <si>
    <t>September 2021</t>
  </si>
  <si>
    <t>SBB $2.2b (Q4 2021 part)</t>
  </si>
  <si>
    <t>December 2021</t>
  </si>
  <si>
    <t>Cancellation 45m shares (January 14, 2022)</t>
  </si>
  <si>
    <t>1st SBB 2022 $1b (Q1 2022 part)</t>
  </si>
  <si>
    <t>March 2022</t>
  </si>
  <si>
    <t>1st SBB 2022 $1b (Q2 2022 part)</t>
  </si>
  <si>
    <t>2nd SBB 2022 $1b (Q2 2022 full)</t>
  </si>
  <si>
    <t>Cancellation 60m shares (May 18, 2022)</t>
  </si>
  <si>
    <t xml:space="preserve">June 2022 </t>
  </si>
  <si>
    <t>Shareholding structure | ArcelorMittal</t>
  </si>
  <si>
    <t>Others relate to share based payments. Please refer to 20F (note 8.3) for details</t>
  </si>
  <si>
    <t>ArcelorMittal EPS analysis</t>
  </si>
  <si>
    <t>Q1 2020</t>
  </si>
  <si>
    <t>Q2 2020</t>
  </si>
  <si>
    <t>Half year 2020</t>
  </si>
  <si>
    <t>Q3 2020</t>
  </si>
  <si>
    <t>9M 
2020</t>
  </si>
  <si>
    <t>Q4 2020</t>
  </si>
  <si>
    <t>Full year 2020</t>
  </si>
  <si>
    <t>Q1 2021</t>
  </si>
  <si>
    <t>Q2 2021</t>
  </si>
  <si>
    <t>Half year 2021</t>
  </si>
  <si>
    <t>Q3 2021</t>
  </si>
  <si>
    <t>9 months
2021</t>
  </si>
  <si>
    <t>Q4 2021</t>
  </si>
  <si>
    <t>Full year 2021</t>
  </si>
  <si>
    <t>Q1 2022</t>
  </si>
  <si>
    <t>Q2 2022</t>
  </si>
  <si>
    <t>Half year 2022</t>
  </si>
  <si>
    <t>Q3 2022</t>
  </si>
  <si>
    <t>9 Months 2022</t>
  </si>
  <si>
    <t>Net result of the period (a)</t>
  </si>
  <si>
    <t>m$</t>
  </si>
  <si>
    <t>Share outstanding (issued less TS) - Op. balance</t>
  </si>
  <si>
    <t>million shares</t>
  </si>
  <si>
    <t>Equity offering in May 2020 (weighted average)</t>
  </si>
  <si>
    <t>Share buyback (weighted average per period)</t>
  </si>
  <si>
    <t>Weighted average share outstanding + MCN for the EPS basic (b)</t>
  </si>
  <si>
    <t>Dilutive effect of the share based payment (in vesting)</t>
  </si>
  <si>
    <t xml:space="preserve">Weighted average share outstanding + MCN for the diluted EPS (c) </t>
  </si>
  <si>
    <t>Basic EPS (a)/(b)</t>
  </si>
  <si>
    <t>$/share</t>
  </si>
  <si>
    <t>Formula derived</t>
  </si>
  <si>
    <t xml:space="preserve">Diluted EPS (a)/(c) </t>
  </si>
  <si>
    <t>EPS: refers to basic or diluted earnings/loss per share.</t>
  </si>
  <si>
    <t>3/7 October</t>
  </si>
  <si>
    <t>10/14 October</t>
  </si>
  <si>
    <t>17/21 October</t>
  </si>
  <si>
    <t>24/28 October</t>
  </si>
  <si>
    <t>Total 2H'2022</t>
  </si>
  <si>
    <t>Q4'2022 CFS</t>
  </si>
  <si>
    <t>ER Q3'22</t>
  </si>
  <si>
    <t>SBB 60m shares ongoing (2HY 2022)</t>
  </si>
  <si>
    <t>September 2022</t>
  </si>
  <si>
    <t>Q4 2022</t>
  </si>
  <si>
    <t>12 Months 2022</t>
  </si>
  <si>
    <t>31 Oct/ 4 Nov</t>
  </si>
  <si>
    <t>13/17 Feb</t>
  </si>
  <si>
    <t>20/24 Feb</t>
  </si>
  <si>
    <t>27 Feb/3 Mar</t>
  </si>
  <si>
    <t>6/10 Mar</t>
  </si>
  <si>
    <t>13/17 Mar</t>
  </si>
  <si>
    <t>ER Q4'22</t>
  </si>
  <si>
    <t>Q1 2023</t>
  </si>
  <si>
    <t>20/24 Mar</t>
  </si>
  <si>
    <t>27/31 Mar</t>
  </si>
  <si>
    <t>SBB 60 million shares 
(Q3'22-Q1'23)</t>
  </si>
  <si>
    <t>SBB 60m shares (finalized in Q1 2023)</t>
  </si>
  <si>
    <t>Q1'2023 CFS</t>
  </si>
  <si>
    <t>Total returns declared since Sep’20</t>
  </si>
  <si>
    <t>December 2022</t>
  </si>
  <si>
    <t>SBB 60m shares ongoing (Q3 2022 part)</t>
  </si>
  <si>
    <t>SBB 60m shares ongoing (Q4 2022 part)</t>
  </si>
  <si>
    <t>SBB 60m shares finalized (Q1 2023 part)</t>
  </si>
  <si>
    <t>Annual report December 2022</t>
  </si>
  <si>
    <t>Q2 2023</t>
  </si>
  <si>
    <t>Half year 2023</t>
  </si>
  <si>
    <t>8/12 May</t>
  </si>
  <si>
    <t>15/19 May</t>
  </si>
  <si>
    <t>22/26 May</t>
  </si>
  <si>
    <t>Q2'2023 CFS</t>
  </si>
  <si>
    <t>Cancellation 25m shares (April 28, 2023)</t>
  </si>
  <si>
    <t>Refer comment above</t>
  </si>
  <si>
    <t>SBB ongoing for 85m shares (Q2'2023 part)</t>
  </si>
  <si>
    <t>SBB 60m shares (finalized in Q1 2023, partially paid in Q2'2023)</t>
  </si>
  <si>
    <t>Total Q2'2023</t>
  </si>
  <si>
    <t>Dividends paid to ArcelorMittal shareholders in Jun 2022 ($0.38c per share)</t>
  </si>
  <si>
    <t>March 2023</t>
  </si>
  <si>
    <t>29 May/2 June</t>
  </si>
  <si>
    <t>SBB 85m shares ongoing (Q2 2023 part)</t>
  </si>
  <si>
    <t>Conversion of the mandatory convertible subordinates notes (MCN)</t>
  </si>
  <si>
    <t>Others (share based payments realisation)</t>
  </si>
  <si>
    <t>* MCN equivalent shares outstanding adjusted of latest conversion price due to AM shareholders</t>
  </si>
  <si>
    <t>Mandatorily Convertible Notes (MCN*)</t>
  </si>
  <si>
    <t>SBB ongoing 85 million shares 
(Q2'23)</t>
  </si>
  <si>
    <t>Source/Comments</t>
  </si>
  <si>
    <t>ER Q1'23: "$477m related to ArcelorMittal share buybacks (19.1 million shares for a total value of $555m of which $78m settled early April 2023)"</t>
  </si>
  <si>
    <t>SBB ongoing 85 million shares 
(Q3'23)</t>
  </si>
  <si>
    <t>ER Q2'23</t>
  </si>
  <si>
    <t>June 2023</t>
  </si>
  <si>
    <t>Q3 2023</t>
  </si>
  <si>
    <t>9 Months 2023</t>
  </si>
  <si>
    <t>Q3'2023 CFS</t>
  </si>
  <si>
    <t>SBB ongoing for 85m shares (Q3'2023 part)</t>
  </si>
  <si>
    <t>SBB 85m shares ongoing (Q3 2023 part)</t>
  </si>
  <si>
    <t>September 2023</t>
  </si>
  <si>
    <t>07/11 Aug</t>
  </si>
  <si>
    <t>31 Jul/4 Aug</t>
  </si>
  <si>
    <t>14/18 Aug</t>
  </si>
  <si>
    <t>13/17 Nov</t>
  </si>
  <si>
    <t>20/24 Nov</t>
  </si>
  <si>
    <t>SBB ongoing 85 million shares 
(Q4'23)</t>
  </si>
  <si>
    <t>Total 2H'2023</t>
  </si>
  <si>
    <t>11/15 Dec</t>
  </si>
  <si>
    <t xml:space="preserve">Q4'2023 CFS </t>
  </si>
  <si>
    <t>ER Q3'23</t>
  </si>
  <si>
    <t>SBB 85m shares ongoing (Q4 2023 part)</t>
  </si>
  <si>
    <t>December 2023</t>
  </si>
  <si>
    <t>Q4 2023</t>
  </si>
  <si>
    <t>12 Months 2023</t>
  </si>
  <si>
    <t>27 Nov/01 Dec</t>
  </si>
  <si>
    <t>04/08 Dec</t>
  </si>
  <si>
    <t>SBB ongoing for 85m shares (Q4'2023 part)</t>
  </si>
  <si>
    <t>SBB ongoing 85 million shares 
(Q1'24)</t>
  </si>
  <si>
    <t>08/12 Jan</t>
  </si>
  <si>
    <t>15/19 Jan</t>
  </si>
  <si>
    <t>22/26 Jan</t>
  </si>
  <si>
    <t>ER Q4'23</t>
  </si>
  <si>
    <t xml:space="preserve">Q1'2024 CFS </t>
  </si>
  <si>
    <t>05/09 Feb</t>
  </si>
  <si>
    <t>12/16 Feb</t>
  </si>
  <si>
    <t>19/23 Feb</t>
  </si>
  <si>
    <t>04/08 Mar</t>
  </si>
  <si>
    <t>11/15 Mar</t>
  </si>
  <si>
    <t>18/22 Mar</t>
  </si>
  <si>
    <t>March 2024</t>
  </si>
  <si>
    <t>Q1 2024</t>
  </si>
  <si>
    <t>25/28 Mar</t>
  </si>
  <si>
    <t>02/05 Jan</t>
  </si>
  <si>
    <t>SBB ongoing for 85m shares (Q1'2024 part)</t>
  </si>
  <si>
    <t>Dividends paid to ArcelorMittal shareholders in Jun 2023</t>
  </si>
  <si>
    <t>Dividends paid to ArcelorMittal shareholders in Dec 2023</t>
  </si>
  <si>
    <t>Annual report December 2023: "On May 2, 2023 at the annual general meeting of shareholders, the shareholders approved the Company’s dividend of $0.44/sh. The dividend amounted to $369m and payment includes two installments; the 1st installment of $185m was paid on June 15, 2023 and the second one of $184m was settled on December 7, 2023."</t>
  </si>
  <si>
    <t>26 Feb/01 Mar</t>
  </si>
  <si>
    <t>29 Jan/02 Feb</t>
  </si>
  <si>
    <t>SBB 85m shares ongoing (Q1 2024 part)</t>
  </si>
  <si>
    <t>13/17 May</t>
  </si>
  <si>
    <t>20/24 May</t>
  </si>
  <si>
    <t>27/31 May</t>
  </si>
  <si>
    <t xml:space="preserve">Q2'2024 CFS </t>
  </si>
  <si>
    <t>SBB 85m shares ongoing (Q2 2024 part)</t>
  </si>
  <si>
    <t>Q2 2024</t>
  </si>
  <si>
    <t>06/10 May</t>
  </si>
  <si>
    <t>ER Q1'24</t>
  </si>
  <si>
    <t>Half year
2024</t>
  </si>
  <si>
    <t>SBB ongoing 85 million shares 
(Q2'24)</t>
  </si>
  <si>
    <t>SBB ongoing for 85m shares (Q2'2024 part)</t>
  </si>
  <si>
    <t>03/07 June</t>
  </si>
  <si>
    <t>10/14 June</t>
  </si>
  <si>
    <t>17/21 June</t>
  </si>
  <si>
    <t>24/27 June</t>
  </si>
  <si>
    <t>Dividends paid to ArcelorMittal shareholders in June 2024</t>
  </si>
  <si>
    <t>ER Q1'24: The $0.50/sh base dividend for 2023 will be paid in 2 equal installments in June 2024 and December 2024</t>
  </si>
  <si>
    <t>June 2024</t>
  </si>
  <si>
    <t>01/05 Jul</t>
  </si>
  <si>
    <t>08/12 Jul</t>
  </si>
  <si>
    <t>15/19 Jul</t>
  </si>
  <si>
    <t>22/24 Jul</t>
  </si>
  <si>
    <t>05/09 Aug</t>
  </si>
  <si>
    <t>12/16 Aug</t>
  </si>
  <si>
    <t>19/21 Aug</t>
  </si>
  <si>
    <t>SBB ongoing 85 million shares 
(Q3'24)</t>
  </si>
  <si>
    <t xml:space="preserve">Q3'2024 CFS </t>
  </si>
  <si>
    <t>ER Q2'24</t>
  </si>
  <si>
    <t>SBB 85m shares ongoing (Q3 2024 part)</t>
  </si>
  <si>
    <t>Q3 2024</t>
  </si>
  <si>
    <t>04/06 Sep</t>
  </si>
  <si>
    <t>10/12 Sep</t>
  </si>
  <si>
    <t>SBB ongoing for 85m shares (Q3'2024 part)</t>
  </si>
  <si>
    <t>Sep 2024</t>
  </si>
  <si>
    <t>SBB ongoing 85 million shares 
(Q4'24)</t>
  </si>
  <si>
    <t>25/29 Nov</t>
  </si>
  <si>
    <t>SBB ongoing for 85m shares (Q4'2024 part)</t>
  </si>
  <si>
    <t>Dividends paid to ArcelorMittal shareholders in December 2024</t>
  </si>
  <si>
    <t>Dec 2024</t>
  </si>
  <si>
    <t>SBB 85m shares ongoing (Q4 2024 part)</t>
  </si>
  <si>
    <t>ER Q3'24</t>
  </si>
  <si>
    <t>2/6 Dec</t>
  </si>
  <si>
    <t>9/13 Dec</t>
  </si>
  <si>
    <t>16/20 Dec</t>
  </si>
  <si>
    <t>18/22 Nov</t>
  </si>
  <si>
    <t>Q4'2024 CFS</t>
  </si>
  <si>
    <t>Q4 2024</t>
  </si>
  <si>
    <t>12 months 2024</t>
  </si>
  <si>
    <t>03/04 Mar</t>
  </si>
  <si>
    <t>SBB ongoing 85 million shares 
(Q1'25)</t>
  </si>
  <si>
    <t>Total 2024</t>
  </si>
  <si>
    <t>SBB ongoing for 85m shares (Q1'2025 part)</t>
  </si>
  <si>
    <t>Q1'2025 CFS</t>
  </si>
  <si>
    <t>SBB 85m shares ongoing (Q1 2025 part)</t>
  </si>
  <si>
    <t>March 2025</t>
  </si>
  <si>
    <t>Q1 2025</t>
  </si>
  <si>
    <t>Q2 2025</t>
  </si>
  <si>
    <t>Q3 2025</t>
  </si>
  <si>
    <t>Q4 2025</t>
  </si>
  <si>
    <t>12 months 2025</t>
  </si>
  <si>
    <t>Half year
2025</t>
  </si>
  <si>
    <t>unaudited</t>
  </si>
  <si>
    <t>ER Q4'24</t>
  </si>
  <si>
    <t>17/21 Mar</t>
  </si>
  <si>
    <t>10/14 Mar</t>
  </si>
  <si>
    <t>~ -$13.8 billion</t>
  </si>
  <si>
    <t>Total SBB 2020/2025</t>
  </si>
  <si>
    <t>$0.2b total AM shares repurchased in the SBB 85m shares, of which:
- $0.1b paid during the month of March and 
- $0.1b balance payable as of March 31st (paid early April)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</si>
</sst>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  <numFmt numFmtId="167" formatCode="_-* #,##0.000_-;\-* #,##0.000_-;_-* &quot;-&quot;??_-;_-@_-"/>
    <numFmt numFmtId="168" formatCode="_(* #,##0_);_(* \(#,##0\);_(* &quot;-&quot;??_);_(@_)"/>
    <numFmt numFmtId="169" formatCode="_(* #,##0.0_);_(* \(#,##0.0\);_(* &quot;-&quot;??_);_(@_)"/>
    <numFmt numFmtId="170" formatCode="0.000"/>
    <numFmt numFmtId="171" formatCode="_-* #,##0.0000_-;\-* #,##0.0000_-;_-* &quot;-&quot;??_-;_-@_-"/>
    <numFmt numFmtId="172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rgb="FF2A2A2A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name val="Arial"/>
      <family val="2"/>
    </font>
    <font>
      <i/>
      <sz val="11"/>
      <color rgb="FFFF0000"/>
      <name val="Arial"/>
      <family val="2"/>
    </font>
    <font>
      <sz val="8"/>
      <name val="Calibri"/>
      <family val="2"/>
      <scheme val="minor"/>
    </font>
    <font>
      <i/>
      <sz val="10"/>
      <color theme="1"/>
      <name val="Arial"/>
      <family val="2"/>
    </font>
    <font>
      <i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00">
    <xf numFmtId="0" fontId="0" fillId="0" borderId="0" xfId="0"/>
    <xf numFmtId="3" fontId="2" fillId="0" borderId="0" xfId="0" applyNumberFormat="1" applyFont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/>
    <xf numFmtId="168" fontId="6" fillId="2" borderId="0" xfId="3" applyNumberFormat="1" applyFont="1" applyFill="1" applyBorder="1"/>
    <xf numFmtId="0" fontId="6" fillId="0" borderId="0" xfId="0" applyFont="1" applyBorder="1" applyAlignment="1">
      <alignment horizontal="right"/>
    </xf>
    <xf numFmtId="168" fontId="6" fillId="0" borderId="0" xfId="3" applyNumberFormat="1" applyFont="1" applyFill="1" applyBorder="1"/>
    <xf numFmtId="168" fontId="6" fillId="2" borderId="6" xfId="3" applyNumberFormat="1" applyFont="1" applyFill="1" applyBorder="1"/>
    <xf numFmtId="168" fontId="6" fillId="2" borderId="5" xfId="3" applyNumberFormat="1" applyFont="1" applyFill="1" applyBorder="1"/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8" fontId="6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8" fillId="0" borderId="0" xfId="0" applyFont="1" applyBorder="1"/>
    <xf numFmtId="0" fontId="6" fillId="0" borderId="0" xfId="0" applyFont="1" applyBorder="1" applyAlignment="1">
      <alignment vertical="center"/>
    </xf>
    <xf numFmtId="168" fontId="6" fillId="2" borderId="6" xfId="3" applyNumberFormat="1" applyFont="1" applyFill="1" applyBorder="1" applyAlignment="1">
      <alignment vertical="center"/>
    </xf>
    <xf numFmtId="168" fontId="6" fillId="2" borderId="0" xfId="3" applyNumberFormat="1" applyFont="1" applyFill="1" applyBorder="1" applyAlignment="1">
      <alignment vertical="center"/>
    </xf>
    <xf numFmtId="168" fontId="6" fillId="0" borderId="0" xfId="3" applyNumberFormat="1" applyFont="1" applyFill="1" applyBorder="1" applyAlignment="1">
      <alignment vertical="center"/>
    </xf>
    <xf numFmtId="168" fontId="6" fillId="0" borderId="5" xfId="3" applyNumberFormat="1" applyFont="1" applyFill="1" applyBorder="1" applyAlignment="1">
      <alignment vertical="center"/>
    </xf>
    <xf numFmtId="168" fontId="6" fillId="0" borderId="6" xfId="3" applyNumberFormat="1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68" fontId="7" fillId="2" borderId="12" xfId="3" applyNumberFormat="1" applyFont="1" applyFill="1" applyBorder="1" applyAlignment="1">
      <alignment vertical="center"/>
    </xf>
    <xf numFmtId="168" fontId="7" fillId="2" borderId="11" xfId="3" applyNumberFormat="1" applyFont="1" applyFill="1" applyBorder="1" applyAlignment="1">
      <alignment vertical="center"/>
    </xf>
    <xf numFmtId="168" fontId="7" fillId="0" borderId="11" xfId="3" applyNumberFormat="1" applyFont="1" applyFill="1" applyBorder="1" applyAlignment="1">
      <alignment vertical="center"/>
    </xf>
    <xf numFmtId="168" fontId="7" fillId="0" borderId="13" xfId="3" applyNumberFormat="1" applyFont="1" applyFill="1" applyBorder="1" applyAlignment="1">
      <alignment vertical="center"/>
    </xf>
    <xf numFmtId="168" fontId="7" fillId="0" borderId="12" xfId="3" applyNumberFormat="1" applyFont="1" applyFill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right" wrapText="1"/>
    </xf>
    <xf numFmtId="0" fontId="11" fillId="0" borderId="0" xfId="0" applyFont="1"/>
    <xf numFmtId="17" fontId="12" fillId="3" borderId="0" xfId="0" quotePrefix="1" applyNumberFormat="1" applyFont="1" applyFill="1"/>
    <xf numFmtId="168" fontId="12" fillId="3" borderId="0" xfId="3" applyNumberFormat="1" applyFont="1" applyFill="1"/>
    <xf numFmtId="168" fontId="11" fillId="0" borderId="0" xfId="3" applyNumberFormat="1" applyFont="1"/>
    <xf numFmtId="168" fontId="11" fillId="2" borderId="1" xfId="3" applyNumberFormat="1" applyFont="1" applyFill="1" applyBorder="1"/>
    <xf numFmtId="168" fontId="11" fillId="2" borderId="0" xfId="3" applyNumberFormat="1" applyFont="1" applyFill="1"/>
    <xf numFmtId="168" fontId="11" fillId="0" borderId="1" xfId="3" applyNumberFormat="1" applyFont="1" applyBorder="1"/>
    <xf numFmtId="164" fontId="11" fillId="2" borderId="0" xfId="3" applyNumberFormat="1" applyFont="1" applyFill="1"/>
    <xf numFmtId="164" fontId="11" fillId="2" borderId="0" xfId="0" applyNumberFormat="1" applyFont="1" applyFill="1"/>
    <xf numFmtId="164" fontId="11" fillId="2" borderId="1" xfId="3" applyNumberFormat="1" applyFont="1" applyFill="1" applyBorder="1"/>
    <xf numFmtId="0" fontId="11" fillId="2" borderId="0" xfId="0" applyFont="1" applyFill="1"/>
    <xf numFmtId="17" fontId="11" fillId="2" borderId="0" xfId="0" quotePrefix="1" applyNumberFormat="1" applyFont="1" applyFill="1"/>
    <xf numFmtId="164" fontId="11" fillId="0" borderId="0" xfId="0" applyNumberFormat="1" applyFont="1"/>
    <xf numFmtId="17" fontId="11" fillId="0" borderId="0" xfId="0" quotePrefix="1" applyNumberFormat="1" applyFont="1"/>
    <xf numFmtId="0" fontId="13" fillId="0" borderId="0" xfId="0" applyFont="1"/>
    <xf numFmtId="168" fontId="11" fillId="0" borderId="1" xfId="3" applyNumberFormat="1" applyFont="1" applyBorder="1" applyAlignment="1">
      <alignment horizontal="right" indent="1"/>
    </xf>
    <xf numFmtId="0" fontId="14" fillId="0" borderId="0" xfId="2" applyFont="1"/>
    <xf numFmtId="168" fontId="11" fillId="0" borderId="0" xfId="0" applyNumberFormat="1" applyFont="1"/>
    <xf numFmtId="164" fontId="13" fillId="0" borderId="0" xfId="0" applyNumberFormat="1" applyFont="1"/>
    <xf numFmtId="0" fontId="15" fillId="0" borderId="0" xfId="0" applyFont="1"/>
    <xf numFmtId="0" fontId="16" fillId="0" borderId="0" xfId="0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166" fontId="12" fillId="2" borderId="0" xfId="0" applyNumberFormat="1" applyFont="1" applyFill="1" applyAlignment="1">
      <alignment horizontal="center"/>
    </xf>
    <xf numFmtId="166" fontId="12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  <xf numFmtId="0" fontId="12" fillId="2" borderId="1" xfId="0" applyFont="1" applyFill="1" applyBorder="1" applyAlignment="1">
      <alignment horizontal="right" wrapText="1"/>
    </xf>
    <xf numFmtId="0" fontId="12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11" fillId="2" borderId="0" xfId="0" applyNumberFormat="1" applyFont="1" applyFill="1" applyAlignment="1">
      <alignment horizontal="center"/>
    </xf>
    <xf numFmtId="166" fontId="11" fillId="2" borderId="0" xfId="1" applyNumberFormat="1" applyFont="1" applyFill="1" applyAlignment="1">
      <alignment horizontal="center"/>
    </xf>
    <xf numFmtId="166" fontId="13" fillId="0" borderId="0" xfId="0" applyNumberFormat="1" applyFont="1" applyAlignment="1">
      <alignment horizontal="left"/>
    </xf>
    <xf numFmtId="43" fontId="12" fillId="0" borderId="0" xfId="0" applyNumberFormat="1" applyFont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166" fontId="11" fillId="2" borderId="1" xfId="1" applyNumberFormat="1" applyFont="1" applyFill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center" vertical="center" wrapText="1"/>
    </xf>
    <xf numFmtId="166" fontId="11" fillId="0" borderId="0" xfId="1" applyNumberFormat="1" applyFont="1" applyAlignment="1">
      <alignment horizontal="center"/>
    </xf>
    <xf numFmtId="16" fontId="11" fillId="0" borderId="0" xfId="0" applyNumberFormat="1" applyFont="1" applyAlignment="1">
      <alignment horizontal="center"/>
    </xf>
    <xf numFmtId="16" fontId="11" fillId="0" borderId="0" xfId="0" applyNumberFormat="1" applyFont="1" applyAlignment="1">
      <alignment horizontal="center" vertical="top"/>
    </xf>
    <xf numFmtId="164" fontId="11" fillId="2" borderId="0" xfId="0" applyNumberFormat="1" applyFont="1" applyFill="1" applyAlignment="1">
      <alignment horizontal="center" vertical="top"/>
    </xf>
    <xf numFmtId="166" fontId="11" fillId="2" borderId="0" xfId="1" applyNumberFormat="1" applyFont="1" applyFill="1" applyAlignment="1">
      <alignment horizontal="center" vertical="top"/>
    </xf>
    <xf numFmtId="164" fontId="11" fillId="2" borderId="0" xfId="1" applyNumberFormat="1" applyFont="1" applyFill="1" applyAlignment="1">
      <alignment horizontal="center"/>
    </xf>
    <xf numFmtId="166" fontId="11" fillId="2" borderId="14" xfId="1" applyNumberFormat="1" applyFont="1" applyFill="1" applyBorder="1" applyAlignment="1">
      <alignment horizontal="center"/>
    </xf>
    <xf numFmtId="167" fontId="11" fillId="0" borderId="0" xfId="1" applyNumberFormat="1" applyFont="1" applyAlignment="1">
      <alignment horizontal="center"/>
    </xf>
    <xf numFmtId="16" fontId="15" fillId="0" borderId="0" xfId="0" applyNumberFormat="1" applyFont="1" applyAlignment="1">
      <alignment horizontal="left"/>
    </xf>
    <xf numFmtId="16" fontId="11" fillId="2" borderId="0" xfId="0" applyNumberFormat="1" applyFont="1" applyFill="1" applyAlignment="1">
      <alignment horizontal="center"/>
    </xf>
    <xf numFmtId="16" fontId="11" fillId="0" borderId="0" xfId="0" applyNumberFormat="1" applyFont="1" applyAlignment="1">
      <alignment horizontal="left"/>
    </xf>
    <xf numFmtId="0" fontId="11" fillId="2" borderId="0" xfId="0" applyFont="1" applyFill="1" applyAlignment="1">
      <alignment horizontal="left"/>
    </xf>
    <xf numFmtId="0" fontId="17" fillId="0" borderId="1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6" fillId="0" borderId="0" xfId="0" applyFont="1" applyFill="1"/>
    <xf numFmtId="168" fontId="6" fillId="0" borderId="0" xfId="3" applyNumberFormat="1" applyFont="1" applyFill="1"/>
    <xf numFmtId="168" fontId="6" fillId="0" borderId="1" xfId="3" applyNumberFormat="1" applyFont="1" applyFill="1" applyBorder="1"/>
    <xf numFmtId="0" fontId="7" fillId="0" borderId="0" xfId="0" applyFont="1" applyFill="1"/>
    <xf numFmtId="168" fontId="7" fillId="0" borderId="0" xfId="3" applyNumberFormat="1" applyFont="1" applyFill="1"/>
    <xf numFmtId="168" fontId="6" fillId="0" borderId="0" xfId="0" applyNumberFormat="1" applyFont="1" applyFill="1"/>
    <xf numFmtId="0" fontId="9" fillId="0" borderId="0" xfId="0" applyFont="1" applyFill="1"/>
    <xf numFmtId="0" fontId="7" fillId="0" borderId="0" xfId="0" applyFont="1" applyFill="1" applyAlignment="1">
      <alignment horizontal="right"/>
    </xf>
    <xf numFmtId="168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8" xfId="0" applyFont="1" applyBorder="1" applyAlignment="1">
      <alignment vertical="center"/>
    </xf>
    <xf numFmtId="165" fontId="6" fillId="0" borderId="9" xfId="1" applyNumberFormat="1" applyFont="1" applyBorder="1" applyAlignment="1">
      <alignment horizontal="right" vertical="center"/>
    </xf>
    <xf numFmtId="165" fontId="6" fillId="2" borderId="9" xfId="1" applyNumberFormat="1" applyFont="1" applyFill="1" applyBorder="1" applyAlignment="1">
      <alignment vertical="center"/>
    </xf>
    <xf numFmtId="165" fontId="6" fillId="0" borderId="9" xfId="1" applyNumberFormat="1" applyFont="1" applyFill="1" applyBorder="1" applyAlignment="1">
      <alignment vertical="center"/>
    </xf>
    <xf numFmtId="165" fontId="6" fillId="0" borderId="9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165" fontId="6" fillId="0" borderId="1" xfId="1" applyNumberFormat="1" applyFont="1" applyBorder="1" applyAlignment="1">
      <alignment horizontal="right" vertical="center"/>
    </xf>
    <xf numFmtId="165" fontId="6" fillId="0" borderId="1" xfId="1" applyNumberFormat="1" applyFont="1" applyFill="1" applyBorder="1" applyAlignment="1">
      <alignment horizontal="right" vertical="center"/>
    </xf>
    <xf numFmtId="165" fontId="6" fillId="0" borderId="8" xfId="1" applyNumberFormat="1" applyFont="1" applyBorder="1" applyAlignment="1">
      <alignment horizontal="right" vertical="center"/>
    </xf>
    <xf numFmtId="165" fontId="6" fillId="0" borderId="7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168" fontId="9" fillId="2" borderId="0" xfId="3" applyNumberFormat="1" applyFont="1" applyFill="1" applyBorder="1"/>
    <xf numFmtId="0" fontId="8" fillId="0" borderId="0" xfId="0" applyFont="1" applyBorder="1" applyAlignment="1">
      <alignment horizontal="left"/>
    </xf>
    <xf numFmtId="0" fontId="7" fillId="0" borderId="0" xfId="0" applyFont="1" applyBorder="1"/>
    <xf numFmtId="164" fontId="11" fillId="2" borderId="0" xfId="0" applyNumberFormat="1" applyFont="1" applyFill="1" applyAlignment="1">
      <alignment horizontal="right"/>
    </xf>
    <xf numFmtId="0" fontId="6" fillId="0" borderId="0" xfId="0" applyFont="1" applyFill="1" applyBorder="1"/>
    <xf numFmtId="168" fontId="7" fillId="0" borderId="0" xfId="3" applyNumberFormat="1" applyFont="1" applyFill="1" applyBorder="1"/>
    <xf numFmtId="168" fontId="6" fillId="0" borderId="0" xfId="0" applyNumberFormat="1" applyFont="1" applyFill="1" applyBorder="1"/>
    <xf numFmtId="0" fontId="11" fillId="0" borderId="1" xfId="0" applyFont="1" applyBorder="1"/>
    <xf numFmtId="164" fontId="11" fillId="0" borderId="0" xfId="0" applyNumberFormat="1" applyFont="1" applyBorder="1"/>
    <xf numFmtId="164" fontId="11" fillId="0" borderId="1" xfId="0" applyNumberFormat="1" applyFont="1" applyFill="1" applyBorder="1"/>
    <xf numFmtId="0" fontId="18" fillId="0" borderId="12" xfId="0" applyFont="1" applyBorder="1" applyAlignment="1"/>
    <xf numFmtId="0" fontId="18" fillId="0" borderId="11" xfId="0" applyFont="1" applyBorder="1" applyAlignment="1"/>
    <xf numFmtId="168" fontId="8" fillId="0" borderId="6" xfId="3" applyNumberFormat="1" applyFont="1" applyFill="1" applyBorder="1"/>
    <xf numFmtId="168" fontId="8" fillId="0" borderId="0" xfId="3" applyNumberFormat="1" applyFont="1" applyFill="1" applyBorder="1" applyAlignment="1">
      <alignment horizontal="right"/>
    </xf>
    <xf numFmtId="168" fontId="8" fillId="0" borderId="0" xfId="3" applyNumberFormat="1" applyFont="1" applyFill="1" applyBorder="1"/>
    <xf numFmtId="165" fontId="8" fillId="0" borderId="9" xfId="1" applyNumberFormat="1" applyFont="1" applyFill="1" applyBorder="1" applyAlignment="1">
      <alignment vertical="center"/>
    </xf>
    <xf numFmtId="165" fontId="8" fillId="0" borderId="9" xfId="1" applyNumberFormat="1" applyFont="1" applyFill="1" applyBorder="1" applyAlignment="1">
      <alignment horizontal="right" vertical="center"/>
    </xf>
    <xf numFmtId="165" fontId="8" fillId="0" borderId="1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/>
    </xf>
    <xf numFmtId="0" fontId="20" fillId="0" borderId="0" xfId="0" applyFont="1" applyAlignment="1">
      <alignment horizontal="left"/>
    </xf>
    <xf numFmtId="0" fontId="11" fillId="0" borderId="1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164" fontId="11" fillId="0" borderId="1" xfId="0" applyNumberFormat="1" applyFont="1" applyBorder="1"/>
    <xf numFmtId="0" fontId="12" fillId="0" borderId="0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right" wrapText="1"/>
    </xf>
    <xf numFmtId="168" fontId="8" fillId="0" borderId="1" xfId="3" applyNumberFormat="1" applyFont="1" applyFill="1" applyBorder="1"/>
    <xf numFmtId="168" fontId="8" fillId="0" borderId="0" xfId="0" applyNumberFormat="1" applyFont="1" applyFill="1" applyBorder="1"/>
    <xf numFmtId="168" fontId="19" fillId="2" borderId="11" xfId="3" applyNumberFormat="1" applyFont="1" applyFill="1" applyBorder="1" applyAlignment="1">
      <alignment vertical="center"/>
    </xf>
    <xf numFmtId="168" fontId="8" fillId="2" borderId="5" xfId="3" applyNumberFormat="1" applyFont="1" applyFill="1" applyBorder="1"/>
    <xf numFmtId="168" fontId="8" fillId="2" borderId="0" xfId="3" applyNumberFormat="1" applyFont="1" applyFill="1" applyBorder="1"/>
    <xf numFmtId="168" fontId="8" fillId="2" borderId="0" xfId="3" applyNumberFormat="1" applyFont="1" applyFill="1" applyBorder="1" applyAlignment="1">
      <alignment horizontal="right"/>
    </xf>
    <xf numFmtId="168" fontId="19" fillId="2" borderId="13" xfId="3" applyNumberFormat="1" applyFont="1" applyFill="1" applyBorder="1" applyAlignment="1">
      <alignment vertical="center"/>
    </xf>
    <xf numFmtId="168" fontId="8" fillId="2" borderId="0" xfId="3" applyNumberFormat="1" applyFont="1" applyFill="1" applyBorder="1" applyAlignment="1">
      <alignment vertical="center"/>
    </xf>
    <xf numFmtId="165" fontId="8" fillId="2" borderId="9" xfId="1" applyNumberFormat="1" applyFont="1" applyFill="1" applyBorder="1" applyAlignment="1">
      <alignment horizontal="right" vertical="center"/>
    </xf>
    <xf numFmtId="165" fontId="8" fillId="2" borderId="1" xfId="1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wrapText="1"/>
    </xf>
    <xf numFmtId="168" fontId="8" fillId="2" borderId="6" xfId="3" applyNumberFormat="1" applyFont="1" applyFill="1" applyBorder="1"/>
    <xf numFmtId="168" fontId="19" fillId="2" borderId="12" xfId="3" applyNumberFormat="1" applyFont="1" applyFill="1" applyBorder="1" applyAlignment="1">
      <alignment vertical="center"/>
    </xf>
    <xf numFmtId="168" fontId="8" fillId="2" borderId="13" xfId="3" applyNumberFormat="1" applyFont="1" applyFill="1" applyBorder="1" applyAlignment="1">
      <alignment vertical="center"/>
    </xf>
    <xf numFmtId="168" fontId="12" fillId="0" borderId="0" xfId="3" applyNumberFormat="1" applyFont="1" applyFill="1"/>
    <xf numFmtId="17" fontId="11" fillId="0" borderId="0" xfId="0" quotePrefix="1" applyNumberFormat="1" applyFont="1" applyFill="1" applyBorder="1"/>
    <xf numFmtId="168" fontId="12" fillId="0" borderId="0" xfId="3" applyNumberFormat="1" applyFont="1" applyFill="1" applyBorder="1"/>
    <xf numFmtId="168" fontId="12" fillId="0" borderId="1" xfId="3" applyNumberFormat="1" applyFont="1" applyFill="1" applyBorder="1"/>
    <xf numFmtId="168" fontId="11" fillId="0" borderId="0" xfId="3" applyNumberFormat="1" applyFont="1" applyFill="1" applyBorder="1"/>
    <xf numFmtId="168" fontId="11" fillId="0" borderId="1" xfId="3" applyNumberFormat="1" applyFont="1" applyFill="1" applyBorder="1"/>
    <xf numFmtId="168" fontId="6" fillId="0" borderId="0" xfId="0" applyNumberFormat="1" applyFont="1" applyBorder="1" applyAlignment="1">
      <alignment horizontal="left"/>
    </xf>
    <xf numFmtId="168" fontId="6" fillId="2" borderId="5" xfId="3" applyNumberFormat="1" applyFont="1" applyFill="1" applyBorder="1" applyAlignment="1">
      <alignment vertical="center"/>
    </xf>
    <xf numFmtId="168" fontId="8" fillId="2" borderId="6" xfId="3" applyNumberFormat="1" applyFont="1" applyFill="1" applyBorder="1" applyAlignment="1">
      <alignment vertical="center"/>
    </xf>
    <xf numFmtId="168" fontId="8" fillId="2" borderId="5" xfId="3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166" fontId="11" fillId="2" borderId="0" xfId="1" applyNumberFormat="1" applyFont="1" applyFill="1" applyBorder="1" applyAlignment="1">
      <alignment horizontal="center"/>
    </xf>
    <xf numFmtId="0" fontId="7" fillId="0" borderId="0" xfId="0" applyFont="1" applyFill="1" applyAlignment="1">
      <alignment vertical="top"/>
    </xf>
    <xf numFmtId="0" fontId="11" fillId="2" borderId="0" xfId="0" applyFont="1" applyFill="1" applyBorder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68" fontId="8" fillId="2" borderId="0" xfId="3" applyNumberFormat="1" applyFont="1" applyFill="1" applyAlignment="1">
      <alignment horizontal="left" vertical="center"/>
    </xf>
    <xf numFmtId="168" fontId="8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/>
    <xf numFmtId="168" fontId="8" fillId="2" borderId="0" xfId="3" applyNumberFormat="1" applyFont="1" applyFill="1"/>
    <xf numFmtId="168" fontId="8" fillId="2" borderId="0" xfId="0" applyNumberFormat="1" applyFont="1" applyFill="1" applyBorder="1"/>
    <xf numFmtId="0" fontId="8" fillId="2" borderId="0" xfId="0" applyFont="1" applyFill="1"/>
    <xf numFmtId="168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quotePrefix="1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165" fontId="6" fillId="2" borderId="0" xfId="0" applyNumberFormat="1" applyFont="1" applyFill="1" applyBorder="1" applyAlignment="1">
      <alignment horizontal="right"/>
    </xf>
    <xf numFmtId="168" fontId="7" fillId="0" borderId="0" xfId="3" applyNumberFormat="1" applyFont="1" applyFill="1" applyBorder="1" applyAlignment="1">
      <alignment vertical="top"/>
    </xf>
    <xf numFmtId="0" fontId="20" fillId="0" borderId="0" xfId="0" applyFont="1" applyFill="1"/>
    <xf numFmtId="0" fontId="11" fillId="0" borderId="0" xfId="0" applyFont="1" applyFill="1"/>
    <xf numFmtId="0" fontId="18" fillId="0" borderId="0" xfId="0" applyFont="1" applyFill="1"/>
    <xf numFmtId="168" fontId="8" fillId="0" borderId="0" xfId="3" applyNumberFormat="1" applyFont="1" applyFill="1"/>
    <xf numFmtId="168" fontId="8" fillId="0" borderId="5" xfId="3" applyNumberFormat="1" applyFont="1" applyFill="1" applyBorder="1"/>
    <xf numFmtId="168" fontId="8" fillId="0" borderId="9" xfId="3" applyNumberFormat="1" applyFont="1" applyFill="1" applyBorder="1" applyAlignment="1">
      <alignment horizontal="right"/>
    </xf>
    <xf numFmtId="168" fontId="8" fillId="2" borderId="11" xfId="3" applyNumberFormat="1" applyFont="1" applyFill="1" applyBorder="1" applyAlignment="1">
      <alignment vertical="center"/>
    </xf>
    <xf numFmtId="166" fontId="12" fillId="0" borderId="0" xfId="0" applyNumberFormat="1" applyFont="1" applyAlignment="1">
      <alignment horizontal="center" wrapText="1"/>
    </xf>
    <xf numFmtId="170" fontId="12" fillId="0" borderId="0" xfId="0" applyNumberFormat="1" applyFont="1" applyAlignment="1">
      <alignment horizontal="center" wrapText="1"/>
    </xf>
    <xf numFmtId="170" fontId="11" fillId="0" borderId="0" xfId="0" applyNumberFormat="1" applyFont="1" applyAlignment="1">
      <alignment wrapText="1"/>
    </xf>
    <xf numFmtId="168" fontId="7" fillId="0" borderId="9" xfId="3" applyNumberFormat="1" applyFont="1" applyFill="1" applyBorder="1" applyAlignment="1">
      <alignment vertical="top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169" fontId="17" fillId="2" borderId="15" xfId="3" quotePrefix="1" applyNumberFormat="1" applyFont="1" applyFill="1" applyBorder="1" applyAlignment="1">
      <alignment horizontal="right"/>
    </xf>
    <xf numFmtId="0" fontId="18" fillId="0" borderId="0" xfId="0" applyFont="1" applyBorder="1" applyAlignment="1">
      <alignment horizontal="left" vertical="center"/>
    </xf>
    <xf numFmtId="168" fontId="6" fillId="2" borderId="0" xfId="0" quotePrefix="1" applyNumberFormat="1" applyFont="1" applyFill="1" applyAlignment="1">
      <alignment horizontal="right" vertical="center"/>
    </xf>
    <xf numFmtId="43" fontId="11" fillId="2" borderId="0" xfId="1" applyFont="1" applyFill="1" applyAlignment="1">
      <alignment horizontal="center"/>
    </xf>
    <xf numFmtId="43" fontId="12" fillId="2" borderId="0" xfId="1" applyFont="1" applyFill="1" applyBorder="1" applyAlignment="1">
      <alignment horizontal="right" wrapText="1"/>
    </xf>
    <xf numFmtId="43" fontId="11" fillId="2" borderId="0" xfId="1" applyFont="1" applyFill="1" applyBorder="1" applyAlignment="1">
      <alignment horizontal="center"/>
    </xf>
    <xf numFmtId="43" fontId="11" fillId="2" borderId="1" xfId="1" applyFont="1" applyFill="1" applyBorder="1" applyAlignment="1">
      <alignment horizontal="center"/>
    </xf>
    <xf numFmtId="43" fontId="12" fillId="2" borderId="0" xfId="1" applyFont="1" applyFill="1" applyAlignment="1">
      <alignment horizontal="center"/>
    </xf>
    <xf numFmtId="43" fontId="12" fillId="2" borderId="0" xfId="1" applyFont="1" applyFill="1" applyBorder="1" applyAlignment="1">
      <alignment horizontal="center"/>
    </xf>
    <xf numFmtId="43" fontId="11" fillId="2" borderId="0" xfId="1" applyFont="1" applyFill="1" applyAlignment="1">
      <alignment horizontal="center" vertical="top"/>
    </xf>
    <xf numFmtId="168" fontId="12" fillId="3" borderId="9" xfId="3" applyNumberFormat="1" applyFont="1" applyFill="1" applyBorder="1"/>
    <xf numFmtId="43" fontId="11" fillId="0" borderId="0" xfId="1" applyFont="1" applyFill="1" applyBorder="1" applyAlignment="1">
      <alignment horizontal="right" wrapText="1"/>
    </xf>
    <xf numFmtId="166" fontId="12" fillId="2" borderId="0" xfId="0" applyNumberFormat="1" applyFont="1" applyFill="1" applyBorder="1" applyAlignment="1">
      <alignment horizontal="right" wrapText="1"/>
    </xf>
    <xf numFmtId="0" fontId="18" fillId="0" borderId="0" xfId="0" applyFont="1" applyBorder="1" applyAlignment="1">
      <alignment horizontal="left"/>
    </xf>
    <xf numFmtId="0" fontId="6" fillId="0" borderId="0" xfId="0" applyFont="1" applyFill="1" applyAlignment="1">
      <alignment wrapText="1"/>
    </xf>
    <xf numFmtId="168" fontId="6" fillId="2" borderId="9" xfId="3" applyNumberFormat="1" applyFont="1" applyFill="1" applyBorder="1"/>
    <xf numFmtId="0" fontId="7" fillId="0" borderId="16" xfId="0" applyFont="1" applyBorder="1" applyAlignment="1">
      <alignment horizontal="center" vertical="center" wrapText="1"/>
    </xf>
    <xf numFmtId="168" fontId="6" fillId="2" borderId="3" xfId="3" applyNumberFormat="1" applyFont="1" applyFill="1" applyBorder="1"/>
    <xf numFmtId="168" fontId="8" fillId="2" borderId="3" xfId="3" applyNumberFormat="1" applyFont="1" applyFill="1" applyBorder="1"/>
    <xf numFmtId="168" fontId="8" fillId="0" borderId="3" xfId="3" applyNumberFormat="1" applyFont="1" applyFill="1" applyBorder="1"/>
    <xf numFmtId="168" fontId="8" fillId="2" borderId="3" xfId="3" applyNumberFormat="1" applyFont="1" applyFill="1" applyBorder="1" applyAlignment="1">
      <alignment vertical="center"/>
    </xf>
    <xf numFmtId="168" fontId="19" fillId="2" borderId="16" xfId="3" applyNumberFormat="1" applyFont="1" applyFill="1" applyBorder="1" applyAlignment="1">
      <alignment vertical="center"/>
    </xf>
    <xf numFmtId="165" fontId="8" fillId="2" borderId="10" xfId="1" applyNumberFormat="1" applyFont="1" applyFill="1" applyBorder="1" applyAlignment="1">
      <alignment horizontal="right" vertical="center"/>
    </xf>
    <xf numFmtId="165" fontId="8" fillId="2" borderId="17" xfId="1" applyNumberFormat="1" applyFont="1" applyFill="1" applyBorder="1" applyAlignment="1">
      <alignment horizontal="right" vertical="center"/>
    </xf>
    <xf numFmtId="17" fontId="12" fillId="3" borderId="0" xfId="0" quotePrefix="1" applyNumberFormat="1" applyFont="1" applyFill="1" applyBorder="1"/>
    <xf numFmtId="43" fontId="11" fillId="2" borderId="0" xfId="1" applyNumberFormat="1" applyFont="1" applyFill="1" applyAlignment="1">
      <alignment horizontal="center"/>
    </xf>
    <xf numFmtId="0" fontId="22" fillId="0" borderId="0" xfId="0" applyFont="1" applyFill="1" applyAlignment="1">
      <alignment wrapText="1"/>
    </xf>
    <xf numFmtId="0" fontId="11" fillId="0" borderId="0" xfId="0" applyFont="1" applyBorder="1" applyAlignment="1">
      <alignment horizontal="center" wrapText="1"/>
    </xf>
    <xf numFmtId="0" fontId="6" fillId="2" borderId="0" xfId="0" applyFont="1" applyFill="1" applyAlignment="1">
      <alignment vertical="top" wrapText="1"/>
    </xf>
    <xf numFmtId="165" fontId="11" fillId="0" borderId="0" xfId="0" applyNumberFormat="1" applyFont="1"/>
    <xf numFmtId="168" fontId="22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right" wrapText="1"/>
    </xf>
    <xf numFmtId="43" fontId="12" fillId="0" borderId="0" xfId="1" applyFont="1" applyFill="1" applyBorder="1" applyAlignment="1">
      <alignment horizontal="right" wrapText="1"/>
    </xf>
    <xf numFmtId="168" fontId="6" fillId="0" borderId="0" xfId="0" quotePrefix="1" applyNumberFormat="1" applyFont="1" applyFill="1" applyAlignment="1">
      <alignment horizontal="right" vertical="center"/>
    </xf>
    <xf numFmtId="168" fontId="8" fillId="0" borderId="6" xfId="3" applyNumberFormat="1" applyFont="1" applyFill="1" applyBorder="1" applyAlignment="1">
      <alignment horizontal="right"/>
    </xf>
    <xf numFmtId="168" fontId="6" fillId="0" borderId="6" xfId="3" applyNumberFormat="1" applyFont="1" applyFill="1" applyBorder="1"/>
    <xf numFmtId="168" fontId="8" fillId="0" borderId="6" xfId="3" applyNumberFormat="1" applyFont="1" applyFill="1" applyBorder="1" applyAlignment="1">
      <alignment vertical="center"/>
    </xf>
    <xf numFmtId="168" fontId="8" fillId="0" borderId="0" xfId="3" applyNumberFormat="1" applyFont="1" applyFill="1" applyBorder="1" applyAlignment="1">
      <alignment vertical="center"/>
    </xf>
    <xf numFmtId="168" fontId="19" fillId="0" borderId="12" xfId="3" applyNumberFormat="1" applyFont="1" applyFill="1" applyBorder="1" applyAlignment="1">
      <alignment vertical="center"/>
    </xf>
    <xf numFmtId="168" fontId="19" fillId="0" borderId="11" xfId="3" applyNumberFormat="1" applyFont="1" applyFill="1" applyBorder="1" applyAlignment="1">
      <alignment vertical="center"/>
    </xf>
    <xf numFmtId="168" fontId="9" fillId="0" borderId="0" xfId="3" applyNumberFormat="1" applyFont="1" applyFill="1" applyBorder="1"/>
    <xf numFmtId="166" fontId="11" fillId="0" borderId="0" xfId="0" applyNumberFormat="1" applyFont="1" applyAlignment="1">
      <alignment wrapText="1"/>
    </xf>
    <xf numFmtId="0" fontId="11" fillId="2" borderId="0" xfId="0" applyFont="1" applyFill="1" applyBorder="1" applyAlignment="1">
      <alignment horizontal="center" wrapText="1"/>
    </xf>
    <xf numFmtId="171" fontId="11" fillId="2" borderId="0" xfId="1" applyNumberFormat="1" applyFont="1" applyFill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166" fontId="11" fillId="2" borderId="0" xfId="1" applyNumberFormat="1" applyFont="1" applyFill="1" applyBorder="1" applyAlignment="1">
      <alignment horizontal="right" wrapText="1"/>
    </xf>
    <xf numFmtId="171" fontId="11" fillId="2" borderId="0" xfId="1" applyNumberFormat="1" applyFont="1" applyFill="1" applyBorder="1" applyAlignment="1">
      <alignment horizontal="right" wrapText="1"/>
    </xf>
    <xf numFmtId="168" fontId="8" fillId="2" borderId="1" xfId="3" applyNumberFormat="1" applyFont="1" applyFill="1" applyBorder="1"/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72" fontId="11" fillId="0" borderId="0" xfId="5" applyNumberFormat="1" applyFont="1"/>
    <xf numFmtId="168" fontId="9" fillId="0" borderId="0" xfId="0" applyNumberFormat="1" applyFont="1" applyFill="1"/>
    <xf numFmtId="168" fontId="7" fillId="0" borderId="0" xfId="0" applyNumberFormat="1" applyFont="1" applyFill="1"/>
    <xf numFmtId="0" fontId="11" fillId="2" borderId="0" xfId="0" applyFont="1" applyFill="1" applyBorder="1" applyAlignment="1">
      <alignment horizontal="center" vertical="center" wrapText="1"/>
    </xf>
    <xf numFmtId="16" fontId="11" fillId="2" borderId="0" xfId="0" applyNumberFormat="1" applyFont="1" applyFill="1" applyBorder="1" applyAlignment="1">
      <alignment horizontal="center" wrapText="1"/>
    </xf>
    <xf numFmtId="0" fontId="7" fillId="2" borderId="0" xfId="0" applyFont="1" applyFill="1"/>
    <xf numFmtId="168" fontId="7" fillId="0" borderId="9" xfId="3" applyNumberFormat="1" applyFont="1" applyFill="1" applyBorder="1"/>
    <xf numFmtId="164" fontId="11" fillId="0" borderId="0" xfId="0" applyNumberFormat="1" applyFont="1" applyFill="1"/>
    <xf numFmtId="172" fontId="11" fillId="0" borderId="0" xfId="5" applyNumberFormat="1" applyFont="1" applyFill="1"/>
    <xf numFmtId="168" fontId="8" fillId="0" borderId="5" xfId="3" applyNumberFormat="1" applyFont="1" applyFill="1" applyBorder="1" applyAlignment="1">
      <alignment horizontal="right"/>
    </xf>
    <xf numFmtId="168" fontId="8" fillId="0" borderId="3" xfId="3" applyNumberFormat="1" applyFont="1" applyFill="1" applyBorder="1" applyAlignment="1">
      <alignment horizontal="right"/>
    </xf>
    <xf numFmtId="165" fontId="11" fillId="2" borderId="0" xfId="0" applyNumberFormat="1" applyFont="1" applyFill="1" applyAlignment="1">
      <alignment wrapText="1"/>
    </xf>
    <xf numFmtId="16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166" fontId="11" fillId="2" borderId="1" xfId="1" applyNumberFormat="1" applyFont="1" applyFill="1" applyBorder="1" applyAlignment="1">
      <alignment horizontal="right" wrapText="1"/>
    </xf>
    <xf numFmtId="171" fontId="11" fillId="2" borderId="1" xfId="1" applyNumberFormat="1" applyFont="1" applyFill="1" applyBorder="1" applyAlignment="1">
      <alignment horizontal="right" wrapText="1"/>
    </xf>
    <xf numFmtId="168" fontId="6" fillId="0" borderId="3" xfId="3" applyNumberFormat="1" applyFont="1" applyFill="1" applyBorder="1"/>
    <xf numFmtId="168" fontId="19" fillId="0" borderId="16" xfId="3" applyNumberFormat="1" applyFont="1" applyFill="1" applyBorder="1" applyAlignment="1">
      <alignment vertical="center"/>
    </xf>
    <xf numFmtId="165" fontId="8" fillId="0" borderId="10" xfId="1" applyNumberFormat="1" applyFont="1" applyFill="1" applyBorder="1" applyAlignment="1">
      <alignment horizontal="right" vertical="center"/>
    </xf>
    <xf numFmtId="165" fontId="8" fillId="0" borderId="17" xfId="1" applyNumberFormat="1" applyFont="1" applyFill="1" applyBorder="1" applyAlignment="1">
      <alignment horizontal="right" vertical="center"/>
    </xf>
    <xf numFmtId="164" fontId="11" fillId="2" borderId="0" xfId="0" applyNumberFormat="1" applyFont="1" applyFill="1" applyBorder="1"/>
    <xf numFmtId="0" fontId="11" fillId="2" borderId="6" xfId="0" applyFont="1" applyFill="1" applyBorder="1" applyAlignment="1">
      <alignment horizontal="center"/>
    </xf>
    <xf numFmtId="164" fontId="11" fillId="2" borderId="0" xfId="0" applyNumberFormat="1" applyFont="1" applyFill="1" applyBorder="1" applyAlignment="1">
      <alignment horizontal="center"/>
    </xf>
    <xf numFmtId="16" fontId="11" fillId="0" borderId="6" xfId="0" quotePrefix="1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8" fontId="8" fillId="4" borderId="3" xfId="3" applyNumberFormat="1" applyFont="1" applyFill="1" applyBorder="1" applyAlignment="1">
      <alignment horizontal="right"/>
    </xf>
    <xf numFmtId="0" fontId="7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166" fontId="11" fillId="5" borderId="0" xfId="1" applyNumberFormat="1" applyFont="1" applyFill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>
      <alignment horizontal="left" vertical="center" wrapText="1"/>
    </xf>
    <xf numFmtId="0" fontId="22" fillId="2" borderId="0" xfId="0" quotePrefix="1" applyFont="1" applyFill="1" applyAlignment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0" fontId="23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</cellXfs>
  <cellStyles count="6">
    <cellStyle name="Comma" xfId="1" builtinId="3"/>
    <cellStyle name="Comma 2" xfId="3" xr:uid="{1E6CD0F5-219D-4581-B576-50BD540B59EC}"/>
    <cellStyle name="Hyperlink" xfId="2" builtinId="8"/>
    <cellStyle name="Normal" xfId="0" builtinId="0"/>
    <cellStyle name="Normal 47 3" xfId="4" xr:uid="{AAC6E988-31EA-4AD2-BF9A-F662FB785D33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.arcelormittal.com/investors/equity-investors/share-buyback-progra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orporate.arcelormittal.com/investors/corporate-governance/shareholding-structu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067E2-5B49-47A3-ACE0-C878AE2329AB}">
  <sheetPr>
    <pageSetUpPr fitToPage="1"/>
  </sheetPr>
  <dimension ref="A1:L178"/>
  <sheetViews>
    <sheetView showGridLines="0" tabSelected="1" zoomScaleNormal="100" zoomScaleSheetLayoutView="70" workbookViewId="0">
      <pane xSplit="1" ySplit="3" topLeftCell="B4" activePane="bottomRight" state="frozen"/>
      <selection activeCell="W5" sqref="W5"/>
      <selection pane="topRight" activeCell="W5" sqref="W5"/>
      <selection pane="bottomLeft" activeCell="W5" sqref="W5"/>
      <selection pane="bottomRight" activeCell="J13" sqref="J13"/>
    </sheetView>
  </sheetViews>
  <sheetFormatPr defaultColWidth="11.453125" defaultRowHeight="14" outlineLevelCol="1" x14ac:dyDescent="0.3"/>
  <cols>
    <col min="1" max="1" width="17.1796875" style="32" customWidth="1"/>
    <col min="2" max="2" width="22.1796875" style="54" customWidth="1"/>
    <col min="3" max="4" width="20.453125" style="55" customWidth="1" outlineLevel="1"/>
    <col min="5" max="5" width="15.81640625" style="55" customWidth="1"/>
    <col min="6" max="6" width="19.54296875" style="199" customWidth="1"/>
    <col min="7" max="7" width="17.54296875" style="55" customWidth="1"/>
    <col min="8" max="8" width="11.54296875" style="54" bestFit="1" customWidth="1"/>
    <col min="9" max="9" width="26.81640625" style="54" customWidth="1"/>
    <col min="10" max="10" width="15.453125" style="32" bestFit="1" customWidth="1"/>
    <col min="11" max="11" width="13.453125" style="32" bestFit="1" customWidth="1"/>
    <col min="12" max="12" width="11.81640625" style="32" bestFit="1" customWidth="1"/>
    <col min="13" max="13" width="12.54296875" style="32" bestFit="1" customWidth="1"/>
    <col min="14" max="16384" width="11.453125" style="32"/>
  </cols>
  <sheetData>
    <row r="1" spans="1:9" x14ac:dyDescent="0.3">
      <c r="A1" s="53" t="s">
        <v>0</v>
      </c>
    </row>
    <row r="2" spans="1:9" x14ac:dyDescent="0.3">
      <c r="G2" s="56"/>
      <c r="H2" s="57"/>
      <c r="I2" s="57"/>
    </row>
    <row r="3" spans="1:9" s="58" customFormat="1" ht="34.5" customHeight="1" x14ac:dyDescent="0.3">
      <c r="B3" s="135" t="s">
        <v>1</v>
      </c>
      <c r="C3" s="136" t="s">
        <v>2</v>
      </c>
      <c r="D3" s="136" t="s">
        <v>3</v>
      </c>
      <c r="E3" s="136" t="s">
        <v>4</v>
      </c>
      <c r="F3" s="200" t="s">
        <v>5</v>
      </c>
      <c r="G3" s="136" t="s">
        <v>6</v>
      </c>
      <c r="H3" s="59" t="s">
        <v>7</v>
      </c>
      <c r="I3" s="60"/>
    </row>
    <row r="4" spans="1:9" s="58" customFormat="1" ht="12.65" customHeight="1" x14ac:dyDescent="0.3">
      <c r="B4" s="227"/>
      <c r="C4" s="228"/>
      <c r="D4" s="228"/>
      <c r="E4" s="228"/>
      <c r="F4" s="229"/>
      <c r="G4" s="228"/>
      <c r="H4" s="228"/>
      <c r="I4" s="60"/>
    </row>
    <row r="5" spans="1:9" s="58" customFormat="1" ht="15" customHeight="1" x14ac:dyDescent="0.3">
      <c r="A5" s="280" t="s">
        <v>342</v>
      </c>
      <c r="B5" s="252">
        <v>45747</v>
      </c>
      <c r="C5" s="243">
        <v>1515000</v>
      </c>
      <c r="D5" s="66">
        <v>0</v>
      </c>
      <c r="E5" s="66">
        <f t="shared" ref="E5:E8" si="0">C5</f>
        <v>1515000</v>
      </c>
      <c r="F5" s="244">
        <v>26.398099999999999</v>
      </c>
      <c r="G5" s="276">
        <f t="shared" ref="G5:G8" si="1">E5*F5</f>
        <v>39993121.5</v>
      </c>
      <c r="I5" s="275"/>
    </row>
    <row r="6" spans="1:9" s="58" customFormat="1" ht="15" customHeight="1" x14ac:dyDescent="0.3">
      <c r="A6" s="281"/>
      <c r="B6" s="239" t="s">
        <v>284</v>
      </c>
      <c r="C6" s="243">
        <v>2574328</v>
      </c>
      <c r="D6" s="66">
        <v>0</v>
      </c>
      <c r="E6" s="66">
        <f t="shared" si="0"/>
        <v>2574328</v>
      </c>
      <c r="F6" s="244">
        <v>28.125572773321817</v>
      </c>
      <c r="G6" s="276">
        <f t="shared" si="1"/>
        <v>72404449.506400004</v>
      </c>
      <c r="I6" s="275"/>
    </row>
    <row r="7" spans="1:9" s="58" customFormat="1" ht="15" customHeight="1" x14ac:dyDescent="0.3">
      <c r="A7" s="281"/>
      <c r="B7" s="239" t="s">
        <v>356</v>
      </c>
      <c r="C7" s="243">
        <v>1250000</v>
      </c>
      <c r="D7" s="66">
        <v>0</v>
      </c>
      <c r="E7" s="66">
        <f t="shared" si="0"/>
        <v>1250000</v>
      </c>
      <c r="F7" s="244">
        <v>29.175139999999999</v>
      </c>
      <c r="G7" s="66">
        <f t="shared" si="1"/>
        <v>36468925</v>
      </c>
      <c r="H7" s="228"/>
      <c r="I7" s="60"/>
    </row>
    <row r="8" spans="1:9" s="58" customFormat="1" ht="15" customHeight="1" x14ac:dyDescent="0.3">
      <c r="A8" s="281"/>
      <c r="B8" s="239" t="s">
        <v>357</v>
      </c>
      <c r="C8" s="243">
        <v>472372</v>
      </c>
      <c r="D8" s="66">
        <v>0</v>
      </c>
      <c r="E8" s="66">
        <f t="shared" si="0"/>
        <v>472372</v>
      </c>
      <c r="F8" s="244">
        <v>28.667981871914506</v>
      </c>
      <c r="G8" s="66">
        <f t="shared" si="1"/>
        <v>13541951.932799999</v>
      </c>
      <c r="H8" s="228"/>
      <c r="I8" s="60"/>
    </row>
    <row r="9" spans="1:9" s="58" customFormat="1" ht="15" customHeight="1" x14ac:dyDescent="0.3">
      <c r="A9" s="282"/>
      <c r="B9" s="261" t="s">
        <v>341</v>
      </c>
      <c r="C9" s="262">
        <v>172300</v>
      </c>
      <c r="D9" s="71">
        <v>0</v>
      </c>
      <c r="E9" s="71">
        <f>C9</f>
        <v>172300</v>
      </c>
      <c r="F9" s="263">
        <v>27.528430179918743</v>
      </c>
      <c r="G9" s="71">
        <f t="shared" ref="G9:G24" si="2">E9*F9</f>
        <v>4743148.5199999996</v>
      </c>
      <c r="H9" s="228"/>
      <c r="I9" s="60"/>
    </row>
    <row r="10" spans="1:9" s="58" customFormat="1" ht="12.65" customHeight="1" x14ac:dyDescent="0.3">
      <c r="A10" s="251"/>
      <c r="B10" s="227"/>
      <c r="C10" s="228"/>
      <c r="D10" s="228"/>
      <c r="E10" s="228"/>
      <c r="F10" s="229"/>
      <c r="G10" s="228"/>
      <c r="H10" s="228"/>
      <c r="I10" s="60"/>
    </row>
    <row r="11" spans="1:9" s="58" customFormat="1" ht="15" customHeight="1" x14ac:dyDescent="0.3">
      <c r="A11" s="280" t="s">
        <v>327</v>
      </c>
      <c r="B11" s="239" t="s">
        <v>336</v>
      </c>
      <c r="C11" s="243">
        <v>500000</v>
      </c>
      <c r="D11" s="66">
        <v>0</v>
      </c>
      <c r="E11" s="66">
        <v>500000</v>
      </c>
      <c r="F11" s="244">
        <v>23.5596</v>
      </c>
      <c r="G11" s="66">
        <f t="shared" si="2"/>
        <v>11779800</v>
      </c>
      <c r="H11" s="228"/>
      <c r="I11" s="60"/>
    </row>
    <row r="12" spans="1:9" s="58" customFormat="1" ht="15" customHeight="1" x14ac:dyDescent="0.3">
      <c r="A12" s="281"/>
      <c r="B12" s="239" t="s">
        <v>335</v>
      </c>
      <c r="C12" s="243">
        <v>500000</v>
      </c>
      <c r="D12" s="66">
        <v>0</v>
      </c>
      <c r="E12" s="66">
        <v>500000</v>
      </c>
      <c r="F12" s="244">
        <v>23.988700000000001</v>
      </c>
      <c r="G12" s="66">
        <f t="shared" si="2"/>
        <v>11994350</v>
      </c>
      <c r="H12" s="228"/>
      <c r="I12" s="60"/>
    </row>
    <row r="13" spans="1:9" s="58" customFormat="1" ht="15" customHeight="1" x14ac:dyDescent="0.3">
      <c r="A13" s="281"/>
      <c r="B13" s="239" t="s">
        <v>334</v>
      </c>
      <c r="C13" s="243">
        <v>1218911</v>
      </c>
      <c r="D13" s="66">
        <v>0</v>
      </c>
      <c r="E13" s="66">
        <v>1218911</v>
      </c>
      <c r="F13" s="244">
        <v>23.895800000000001</v>
      </c>
      <c r="G13" s="66">
        <f t="shared" si="2"/>
        <v>29126853.4738</v>
      </c>
      <c r="H13" s="228"/>
      <c r="I13" s="60"/>
    </row>
    <row r="14" spans="1:9" s="58" customFormat="1" ht="15" customHeight="1" x14ac:dyDescent="0.3">
      <c r="A14" s="281"/>
      <c r="B14" s="239" t="s">
        <v>328</v>
      </c>
      <c r="C14" s="243">
        <v>2224103</v>
      </c>
      <c r="D14" s="66">
        <v>0</v>
      </c>
      <c r="E14" s="66">
        <f t="shared" ref="E14:E25" si="3">C14</f>
        <v>2224103</v>
      </c>
      <c r="F14" s="244">
        <v>23.433644561380476</v>
      </c>
      <c r="G14" s="66">
        <f t="shared" si="2"/>
        <v>52118839.1699</v>
      </c>
      <c r="H14" s="228"/>
      <c r="I14" s="60"/>
    </row>
    <row r="15" spans="1:9" s="58" customFormat="1" ht="15" customHeight="1" x14ac:dyDescent="0.3">
      <c r="A15" s="282"/>
      <c r="B15" s="239" t="s">
        <v>337</v>
      </c>
      <c r="C15" s="243">
        <v>900000</v>
      </c>
      <c r="D15" s="66">
        <v>0</v>
      </c>
      <c r="E15" s="66">
        <f t="shared" si="3"/>
        <v>900000</v>
      </c>
      <c r="F15" s="244">
        <v>23.892499999999998</v>
      </c>
      <c r="G15" s="66">
        <f t="shared" si="2"/>
        <v>21503250</v>
      </c>
      <c r="H15" s="228"/>
      <c r="I15" s="60"/>
    </row>
    <row r="16" spans="1:9" s="58" customFormat="1" ht="12.65" customHeight="1" x14ac:dyDescent="0.3">
      <c r="A16" s="241"/>
      <c r="B16" s="227"/>
      <c r="C16" s="228"/>
      <c r="D16" s="228"/>
      <c r="E16" s="228"/>
      <c r="F16" s="229"/>
      <c r="G16" s="228"/>
      <c r="H16" s="228"/>
      <c r="I16" s="60"/>
    </row>
    <row r="17" spans="1:12" s="58" customFormat="1" ht="15" customHeight="1" x14ac:dyDescent="0.3">
      <c r="A17" s="280" t="s">
        <v>318</v>
      </c>
      <c r="B17" s="239" t="s">
        <v>324</v>
      </c>
      <c r="C17" s="66">
        <v>1007425</v>
      </c>
      <c r="D17" s="66">
        <v>0</v>
      </c>
      <c r="E17" s="66">
        <f t="shared" si="3"/>
        <v>1007425</v>
      </c>
      <c r="F17" s="240">
        <v>19.883537679231704</v>
      </c>
      <c r="G17" s="66">
        <f t="shared" si="2"/>
        <v>20031172.9465</v>
      </c>
      <c r="H17" s="228"/>
      <c r="I17" s="60"/>
    </row>
    <row r="18" spans="1:12" s="58" customFormat="1" ht="15" customHeight="1" x14ac:dyDescent="0.3">
      <c r="A18" s="281"/>
      <c r="B18" s="239" t="s">
        <v>323</v>
      </c>
      <c r="C18" s="66">
        <v>708216</v>
      </c>
      <c r="D18" s="66">
        <v>0</v>
      </c>
      <c r="E18" s="66">
        <f t="shared" si="3"/>
        <v>708216</v>
      </c>
      <c r="F18" s="240">
        <v>19.986705222418017</v>
      </c>
      <c r="G18" s="66">
        <f t="shared" si="2"/>
        <v>14154904.425799998</v>
      </c>
      <c r="H18" s="228"/>
      <c r="I18" s="60"/>
    </row>
    <row r="19" spans="1:12" s="58" customFormat="1" ht="15" customHeight="1" x14ac:dyDescent="0.3">
      <c r="A19" s="281"/>
      <c r="B19" s="239" t="s">
        <v>317</v>
      </c>
      <c r="C19" s="66">
        <v>1306103</v>
      </c>
      <c r="D19" s="66">
        <v>0</v>
      </c>
      <c r="E19" s="66">
        <f t="shared" si="3"/>
        <v>1306103</v>
      </c>
      <c r="F19" s="240">
        <v>20.72974296973516</v>
      </c>
      <c r="G19" s="66">
        <f t="shared" si="2"/>
        <v>27075179.482000001</v>
      </c>
      <c r="H19" s="228"/>
      <c r="I19" s="60"/>
    </row>
    <row r="20" spans="1:12" s="58" customFormat="1" ht="15" customHeight="1" x14ac:dyDescent="0.3">
      <c r="A20" s="281"/>
      <c r="B20" s="239" t="s">
        <v>316</v>
      </c>
      <c r="C20" s="66">
        <v>2280370</v>
      </c>
      <c r="D20" s="66">
        <v>0</v>
      </c>
      <c r="E20" s="66">
        <f t="shared" si="3"/>
        <v>2280370</v>
      </c>
      <c r="F20" s="240">
        <v>19.972414392971313</v>
      </c>
      <c r="G20" s="66">
        <f t="shared" si="2"/>
        <v>45544494.609299995</v>
      </c>
      <c r="H20" s="228"/>
      <c r="I20" s="60"/>
    </row>
    <row r="21" spans="1:12" s="58" customFormat="1" ht="15" customHeight="1" x14ac:dyDescent="0.3">
      <c r="A21" s="281"/>
      <c r="B21" s="239" t="s">
        <v>315</v>
      </c>
      <c r="C21" s="66">
        <v>2280181</v>
      </c>
      <c r="D21" s="66">
        <v>0</v>
      </c>
      <c r="E21" s="66">
        <f t="shared" si="3"/>
        <v>2280181</v>
      </c>
      <c r="F21" s="240">
        <v>19.689473744496599</v>
      </c>
      <c r="G21" s="66">
        <f t="shared" si="2"/>
        <v>44895563.9322</v>
      </c>
      <c r="H21" s="228"/>
      <c r="I21" s="60"/>
    </row>
    <row r="22" spans="1:12" s="58" customFormat="1" ht="15" customHeight="1" x14ac:dyDescent="0.3">
      <c r="A22" s="281"/>
      <c r="B22" s="239" t="s">
        <v>314</v>
      </c>
      <c r="C22" s="66">
        <v>518776</v>
      </c>
      <c r="D22" s="66">
        <v>0</v>
      </c>
      <c r="E22" s="66">
        <f t="shared" si="3"/>
        <v>518776</v>
      </c>
      <c r="F22" s="240">
        <v>20.836432991503077</v>
      </c>
      <c r="G22" s="66">
        <f t="shared" si="2"/>
        <v>10809441.3616</v>
      </c>
      <c r="H22" s="228"/>
      <c r="I22" s="60"/>
    </row>
    <row r="23" spans="1:12" s="58" customFormat="1" ht="15" customHeight="1" x14ac:dyDescent="0.3">
      <c r="A23" s="281"/>
      <c r="B23" s="239" t="s">
        <v>313</v>
      </c>
      <c r="C23" s="66">
        <v>1125000</v>
      </c>
      <c r="D23" s="66">
        <v>0</v>
      </c>
      <c r="E23" s="66">
        <f t="shared" si="3"/>
        <v>1125000</v>
      </c>
      <c r="F23" s="240">
        <v>21.2239</v>
      </c>
      <c r="G23" s="66">
        <f t="shared" si="2"/>
        <v>23876887.5</v>
      </c>
      <c r="H23" s="228"/>
      <c r="I23" s="60"/>
    </row>
    <row r="24" spans="1:12" s="58" customFormat="1" ht="15" customHeight="1" x14ac:dyDescent="0.3">
      <c r="A24" s="281"/>
      <c r="B24" s="239" t="s">
        <v>312</v>
      </c>
      <c r="C24" s="66">
        <v>1125000</v>
      </c>
      <c r="D24" s="66">
        <v>0</v>
      </c>
      <c r="E24" s="66">
        <f t="shared" si="3"/>
        <v>1125000</v>
      </c>
      <c r="F24" s="240">
        <v>21.112200000000001</v>
      </c>
      <c r="G24" s="66">
        <f t="shared" si="2"/>
        <v>23751225</v>
      </c>
      <c r="H24" s="228"/>
      <c r="I24" s="60"/>
    </row>
    <row r="25" spans="1:12" s="58" customFormat="1" ht="15" customHeight="1" x14ac:dyDescent="0.3">
      <c r="A25" s="282"/>
      <c r="B25" s="239" t="s">
        <v>311</v>
      </c>
      <c r="C25" s="66">
        <v>1575000</v>
      </c>
      <c r="D25" s="66">
        <v>0</v>
      </c>
      <c r="E25" s="66">
        <f t="shared" si="3"/>
        <v>1575000</v>
      </c>
      <c r="F25" s="240">
        <v>21.493571428571428</v>
      </c>
      <c r="G25" s="66">
        <f t="shared" ref="G25:G34" si="4">E25*F25</f>
        <v>33852375</v>
      </c>
      <c r="H25" s="228"/>
      <c r="I25" s="188"/>
      <c r="L25" s="238"/>
    </row>
    <row r="26" spans="1:12" s="58" customFormat="1" ht="15" customHeight="1" x14ac:dyDescent="0.3">
      <c r="B26" s="227"/>
      <c r="C26" s="228"/>
      <c r="D26" s="228"/>
      <c r="E26" s="228"/>
      <c r="F26" s="229"/>
      <c r="G26" s="228"/>
      <c r="H26" s="228"/>
      <c r="I26" s="60"/>
    </row>
    <row r="27" spans="1:12" s="58" customFormat="1" ht="15" customHeight="1" x14ac:dyDescent="0.3">
      <c r="A27" s="279" t="s">
        <v>302</v>
      </c>
      <c r="B27" s="223" t="s">
        <v>307</v>
      </c>
      <c r="C27" s="66">
        <v>1809674</v>
      </c>
      <c r="D27" s="66">
        <v>0</v>
      </c>
      <c r="E27" s="66">
        <f t="shared" ref="E27:E30" si="5">C27</f>
        <v>1809674</v>
      </c>
      <c r="F27" s="221">
        <v>21.778612952609144</v>
      </c>
      <c r="G27" s="66">
        <f t="shared" si="4"/>
        <v>39412189.616400003</v>
      </c>
      <c r="H27" s="136"/>
      <c r="I27" s="60"/>
    </row>
    <row r="28" spans="1:12" s="58" customFormat="1" ht="15" customHeight="1" x14ac:dyDescent="0.3">
      <c r="A28" s="277"/>
      <c r="B28" s="223" t="s">
        <v>306</v>
      </c>
      <c r="C28" s="66">
        <v>2700000</v>
      </c>
      <c r="D28" s="66">
        <v>0</v>
      </c>
      <c r="E28" s="66">
        <f t="shared" si="5"/>
        <v>2700000</v>
      </c>
      <c r="F28" s="199">
        <v>22.014825925925926</v>
      </c>
      <c r="G28" s="66">
        <f t="shared" si="4"/>
        <v>59440030</v>
      </c>
      <c r="H28" s="136"/>
      <c r="I28" s="60"/>
    </row>
    <row r="29" spans="1:12" s="58" customFormat="1" ht="15" customHeight="1" x14ac:dyDescent="0.3">
      <c r="A29" s="277"/>
      <c r="B29" s="223" t="s">
        <v>305</v>
      </c>
      <c r="C29" s="66">
        <v>2103825</v>
      </c>
      <c r="D29" s="66">
        <v>0</v>
      </c>
      <c r="E29" s="66">
        <f t="shared" si="5"/>
        <v>2103825</v>
      </c>
      <c r="F29" s="199">
        <v>22.34731697384526</v>
      </c>
      <c r="G29" s="66">
        <f t="shared" si="4"/>
        <v>47014844.1325</v>
      </c>
      <c r="H29" s="136"/>
      <c r="I29" s="60"/>
    </row>
    <row r="30" spans="1:12" s="58" customFormat="1" ht="15" customHeight="1" x14ac:dyDescent="0.3">
      <c r="A30" s="277"/>
      <c r="B30" s="223" t="s">
        <v>304</v>
      </c>
      <c r="C30" s="66">
        <v>1250000</v>
      </c>
      <c r="D30" s="66">
        <v>0</v>
      </c>
      <c r="E30" s="66">
        <f t="shared" si="5"/>
        <v>1250000</v>
      </c>
      <c r="F30" s="199">
        <v>23.68552</v>
      </c>
      <c r="G30" s="66">
        <f t="shared" si="4"/>
        <v>29606900</v>
      </c>
      <c r="H30" s="136"/>
      <c r="I30" s="60"/>
    </row>
    <row r="31" spans="1:12" s="58" customFormat="1" ht="15" customHeight="1" x14ac:dyDescent="0.3">
      <c r="A31" s="277"/>
      <c r="B31" s="83" t="s">
        <v>295</v>
      </c>
      <c r="C31" s="66">
        <v>1300000</v>
      </c>
      <c r="D31" s="66">
        <v>0</v>
      </c>
      <c r="E31" s="66">
        <f t="shared" ref="E31:E34" si="6">C31</f>
        <v>1300000</v>
      </c>
      <c r="F31" s="221">
        <v>23.765873076923079</v>
      </c>
      <c r="G31" s="66">
        <f t="shared" si="4"/>
        <v>30895635.000000004</v>
      </c>
      <c r="H31" s="136"/>
      <c r="I31" s="60"/>
    </row>
    <row r="32" spans="1:12" s="58" customFormat="1" ht="15" customHeight="1" x14ac:dyDescent="0.3">
      <c r="A32" s="277"/>
      <c r="B32" s="83" t="s">
        <v>294</v>
      </c>
      <c r="C32" s="66">
        <v>1250000</v>
      </c>
      <c r="D32" s="66">
        <v>0</v>
      </c>
      <c r="E32" s="66">
        <f t="shared" si="6"/>
        <v>1250000</v>
      </c>
      <c r="F32" s="221">
        <v>23.98602</v>
      </c>
      <c r="G32" s="66">
        <f t="shared" si="4"/>
        <v>29982525</v>
      </c>
      <c r="H32" s="136"/>
      <c r="I32" s="60"/>
    </row>
    <row r="33" spans="1:11" s="58" customFormat="1" ht="15" customHeight="1" x14ac:dyDescent="0.3">
      <c r="A33" s="277"/>
      <c r="B33" s="83" t="s">
        <v>293</v>
      </c>
      <c r="C33" s="66">
        <v>1250000</v>
      </c>
      <c r="D33" s="66">
        <v>0</v>
      </c>
      <c r="E33" s="66">
        <f t="shared" si="6"/>
        <v>1250000</v>
      </c>
      <c r="F33" s="221">
        <v>24.093019999999999</v>
      </c>
      <c r="G33" s="66">
        <f t="shared" si="4"/>
        <v>30116275</v>
      </c>
      <c r="H33" s="136"/>
      <c r="I33" s="60"/>
    </row>
    <row r="34" spans="1:11" s="58" customFormat="1" ht="15" customHeight="1" x14ac:dyDescent="0.3">
      <c r="A34" s="278"/>
      <c r="B34" s="83" t="s">
        <v>299</v>
      </c>
      <c r="C34" s="66">
        <v>500000</v>
      </c>
      <c r="D34" s="66">
        <v>0</v>
      </c>
      <c r="E34" s="66">
        <f t="shared" si="6"/>
        <v>500000</v>
      </c>
      <c r="F34" s="221">
        <v>23.88475</v>
      </c>
      <c r="G34" s="66">
        <f t="shared" si="4"/>
        <v>11942375</v>
      </c>
      <c r="H34" s="136"/>
      <c r="I34" s="60"/>
    </row>
    <row r="35" spans="1:11" s="58" customFormat="1" x14ac:dyDescent="0.3">
      <c r="B35" s="83"/>
      <c r="C35" s="66"/>
      <c r="D35" s="66"/>
      <c r="E35" s="66"/>
      <c r="F35" s="207"/>
      <c r="G35" s="66"/>
      <c r="H35" s="136"/>
      <c r="I35" s="60"/>
    </row>
    <row r="36" spans="1:11" s="58" customFormat="1" ht="14.5" customHeight="1" x14ac:dyDescent="0.3">
      <c r="A36" s="279" t="s">
        <v>270</v>
      </c>
      <c r="B36" s="83" t="s">
        <v>284</v>
      </c>
      <c r="C36" s="66">
        <v>427147</v>
      </c>
      <c r="D36" s="66">
        <v>0</v>
      </c>
      <c r="E36" s="66">
        <f t="shared" ref="E36:E39" si="7">C36</f>
        <v>427147</v>
      </c>
      <c r="F36" s="199">
        <v>25.261705613992373</v>
      </c>
      <c r="G36" s="66">
        <f t="shared" ref="G36:G48" si="8">E36*F36</f>
        <v>10790461.767899999</v>
      </c>
      <c r="H36" s="136"/>
      <c r="I36" s="60"/>
    </row>
    <row r="37" spans="1:11" s="58" customFormat="1" x14ac:dyDescent="0.3">
      <c r="A37" s="277"/>
      <c r="B37" s="83" t="s">
        <v>281</v>
      </c>
      <c r="C37" s="66">
        <v>1195109</v>
      </c>
      <c r="D37" s="66">
        <v>0</v>
      </c>
      <c r="E37" s="66">
        <f t="shared" si="7"/>
        <v>1195109</v>
      </c>
      <c r="F37" s="199">
        <v>24.525571565187779</v>
      </c>
      <c r="G37" s="66">
        <f t="shared" si="8"/>
        <v>29310731.307700001</v>
      </c>
      <c r="H37" s="136"/>
      <c r="I37" s="60"/>
    </row>
    <row r="38" spans="1:11" s="58" customFormat="1" x14ac:dyDescent="0.3">
      <c r="A38" s="277"/>
      <c r="B38" s="83" t="s">
        <v>280</v>
      </c>
      <c r="C38" s="66">
        <v>3955008</v>
      </c>
      <c r="D38" s="66">
        <v>0</v>
      </c>
      <c r="E38" s="66">
        <f t="shared" si="7"/>
        <v>3955008</v>
      </c>
      <c r="F38" s="199">
        <v>24.390393798065645</v>
      </c>
      <c r="G38" s="66">
        <f t="shared" si="8"/>
        <v>96464202.594500005</v>
      </c>
      <c r="H38" s="136"/>
      <c r="I38" s="60"/>
    </row>
    <row r="39" spans="1:11" s="58" customFormat="1" x14ac:dyDescent="0.3">
      <c r="A39" s="277"/>
      <c r="B39" s="83" t="s">
        <v>279</v>
      </c>
      <c r="C39" s="66">
        <v>3856436</v>
      </c>
      <c r="D39" s="66">
        <v>0</v>
      </c>
      <c r="E39" s="66">
        <f t="shared" si="7"/>
        <v>3856436</v>
      </c>
      <c r="F39" s="199">
        <v>23.635860191326916</v>
      </c>
      <c r="G39" s="66">
        <f t="shared" si="8"/>
        <v>91150182.132800013</v>
      </c>
      <c r="H39" s="136"/>
      <c r="I39" s="60"/>
    </row>
    <row r="40" spans="1:11" s="58" customFormat="1" ht="14.5" customHeight="1" x14ac:dyDescent="0.3">
      <c r="A40" s="277"/>
      <c r="B40" s="83" t="s">
        <v>290</v>
      </c>
      <c r="C40" s="66">
        <v>2790190</v>
      </c>
      <c r="D40" s="66">
        <v>0</v>
      </c>
      <c r="E40" s="66">
        <f t="shared" ref="E40:E43" si="9">C40</f>
        <v>2790190</v>
      </c>
      <c r="F40" s="199">
        <v>24.126239405380993</v>
      </c>
      <c r="G40" s="66">
        <f t="shared" si="8"/>
        <v>67316791.926499993</v>
      </c>
      <c r="H40" s="208"/>
      <c r="I40" s="60"/>
    </row>
    <row r="41" spans="1:11" s="58" customFormat="1" ht="14.15" customHeight="1" x14ac:dyDescent="0.3">
      <c r="A41" s="277"/>
      <c r="B41" s="83" t="s">
        <v>278</v>
      </c>
      <c r="C41" s="66">
        <v>1865775</v>
      </c>
      <c r="D41" s="66">
        <v>0</v>
      </c>
      <c r="E41" s="66">
        <f t="shared" si="9"/>
        <v>1865775</v>
      </c>
      <c r="F41" s="199">
        <v>24.504876445498518</v>
      </c>
      <c r="G41" s="66">
        <f t="shared" si="8"/>
        <v>45720585.850099996</v>
      </c>
      <c r="H41" s="136"/>
      <c r="I41" s="60"/>
    </row>
    <row r="42" spans="1:11" s="58" customFormat="1" x14ac:dyDescent="0.3">
      <c r="A42" s="277"/>
      <c r="B42" s="83" t="s">
        <v>277</v>
      </c>
      <c r="C42" s="66">
        <v>909203</v>
      </c>
      <c r="D42" s="66">
        <v>0</v>
      </c>
      <c r="E42" s="66">
        <f t="shared" si="9"/>
        <v>909203</v>
      </c>
      <c r="F42" s="199">
        <v>25.738228756834282</v>
      </c>
      <c r="G42" s="66">
        <f t="shared" si="8"/>
        <v>23401274.8004</v>
      </c>
      <c r="H42" s="136"/>
      <c r="I42" s="60"/>
    </row>
    <row r="43" spans="1:11" s="58" customFormat="1" x14ac:dyDescent="0.3">
      <c r="A43" s="277"/>
      <c r="B43" s="83" t="s">
        <v>276</v>
      </c>
      <c r="C43" s="66">
        <v>990911</v>
      </c>
      <c r="D43" s="66">
        <v>0</v>
      </c>
      <c r="E43" s="66">
        <f t="shared" si="9"/>
        <v>990911</v>
      </c>
      <c r="F43" s="199">
        <v>25.597074445333639</v>
      </c>
      <c r="G43" s="66">
        <f t="shared" si="8"/>
        <v>25364422.635700002</v>
      </c>
      <c r="H43" s="136"/>
      <c r="I43" s="60"/>
    </row>
    <row r="44" spans="1:11" s="58" customFormat="1" x14ac:dyDescent="0.3">
      <c r="A44" s="277"/>
      <c r="B44" s="83" t="s">
        <v>291</v>
      </c>
      <c r="C44" s="66">
        <v>857482</v>
      </c>
      <c r="D44" s="66">
        <v>0</v>
      </c>
      <c r="E44" s="66">
        <f t="shared" ref="E44:E48" si="10">C44</f>
        <v>857482</v>
      </c>
      <c r="F44" s="199">
        <v>25.579493896898125</v>
      </c>
      <c r="G44" s="66">
        <f t="shared" si="8"/>
        <v>21933955.585699998</v>
      </c>
      <c r="H44" s="208"/>
      <c r="I44" s="60"/>
    </row>
    <row r="45" spans="1:11" s="58" customFormat="1" ht="14.15" customHeight="1" x14ac:dyDescent="0.3">
      <c r="A45" s="277"/>
      <c r="B45" s="83" t="s">
        <v>273</v>
      </c>
      <c r="C45" s="66">
        <v>1125019</v>
      </c>
      <c r="D45" s="66">
        <v>0</v>
      </c>
      <c r="E45" s="66">
        <f t="shared" si="10"/>
        <v>1125019</v>
      </c>
      <c r="F45" s="199">
        <v>25.024936805511732</v>
      </c>
      <c r="G45" s="66">
        <f t="shared" si="8"/>
        <v>28153529.380000003</v>
      </c>
      <c r="H45" s="136"/>
      <c r="I45" s="60"/>
    </row>
    <row r="46" spans="1:11" s="58" customFormat="1" x14ac:dyDescent="0.3">
      <c r="A46" s="277"/>
      <c r="B46" s="83" t="s">
        <v>272</v>
      </c>
      <c r="C46" s="66">
        <v>1907348</v>
      </c>
      <c r="D46" s="66">
        <v>0</v>
      </c>
      <c r="E46" s="66">
        <f t="shared" si="10"/>
        <v>1907348</v>
      </c>
      <c r="F46" s="199">
        <v>24.30824191495207</v>
      </c>
      <c r="G46" s="66">
        <f t="shared" si="8"/>
        <v>46364276.600000001</v>
      </c>
      <c r="H46" s="136"/>
      <c r="I46" s="60"/>
    </row>
    <row r="47" spans="1:11" s="58" customFormat="1" x14ac:dyDescent="0.3">
      <c r="A47" s="277"/>
      <c r="B47" s="83" t="s">
        <v>271</v>
      </c>
      <c r="C47" s="66">
        <v>1918830</v>
      </c>
      <c r="D47" s="66">
        <v>0</v>
      </c>
      <c r="E47" s="66">
        <f t="shared" si="10"/>
        <v>1918830</v>
      </c>
      <c r="F47" s="199">
        <v>24.764694986007097</v>
      </c>
      <c r="G47" s="66">
        <f t="shared" si="8"/>
        <v>47519239.68</v>
      </c>
      <c r="H47" s="136"/>
      <c r="I47" s="60"/>
    </row>
    <row r="48" spans="1:11" s="58" customFormat="1" x14ac:dyDescent="0.3">
      <c r="A48" s="278"/>
      <c r="B48" s="260" t="s">
        <v>285</v>
      </c>
      <c r="C48" s="71">
        <v>726345</v>
      </c>
      <c r="D48" s="71">
        <v>0</v>
      </c>
      <c r="E48" s="71">
        <f t="shared" si="10"/>
        <v>726345</v>
      </c>
      <c r="F48" s="202">
        <v>25.423573026592049</v>
      </c>
      <c r="G48" s="71">
        <f t="shared" si="8"/>
        <v>18466285.150000002</v>
      </c>
      <c r="H48" s="136"/>
      <c r="I48" s="188"/>
      <c r="J48" s="188"/>
      <c r="K48" s="259"/>
    </row>
    <row r="49" spans="1:11" s="58" customFormat="1" x14ac:dyDescent="0.3">
      <c r="A49" s="132"/>
      <c r="B49" s="54"/>
      <c r="C49" s="65"/>
      <c r="D49" s="66"/>
      <c r="E49" s="65"/>
      <c r="F49" s="199"/>
      <c r="G49" s="66"/>
      <c r="H49" s="136"/>
      <c r="I49" s="60"/>
    </row>
    <row r="50" spans="1:11" s="58" customFormat="1" ht="14.15" customHeight="1" x14ac:dyDescent="0.3">
      <c r="A50" s="277" t="s">
        <v>258</v>
      </c>
      <c r="B50" s="83" t="s">
        <v>260</v>
      </c>
      <c r="C50" s="66">
        <f>870898+72834+800000</f>
        <v>1743732</v>
      </c>
      <c r="D50" s="66">
        <v>0</v>
      </c>
      <c r="E50" s="66">
        <f t="shared" ref="E50:E51" si="11">C50</f>
        <v>1743732</v>
      </c>
      <c r="F50" s="199">
        <v>23.934370552814308</v>
      </c>
      <c r="G50" s="66">
        <f>E50*F50</f>
        <v>41735127.832800001</v>
      </c>
      <c r="H50" s="136"/>
      <c r="I50" s="60"/>
    </row>
    <row r="51" spans="1:11" s="58" customFormat="1" ht="14.15" customHeight="1" x14ac:dyDescent="0.3">
      <c r="A51" s="277"/>
      <c r="B51" s="83" t="s">
        <v>268</v>
      </c>
      <c r="C51" s="66">
        <f>590651+800000+129309+18067</f>
        <v>1538027</v>
      </c>
      <c r="D51" s="66">
        <v>0</v>
      </c>
      <c r="E51" s="66">
        <f t="shared" si="11"/>
        <v>1538027</v>
      </c>
      <c r="F51" s="199">
        <v>23.541995784209249</v>
      </c>
      <c r="G51" s="66">
        <f>E51*F51</f>
        <v>36208225.149999999</v>
      </c>
      <c r="H51" s="136"/>
      <c r="I51" s="60"/>
    </row>
    <row r="52" spans="1:11" s="58" customFormat="1" ht="14.15" customHeight="1" x14ac:dyDescent="0.3">
      <c r="A52" s="277"/>
      <c r="B52" s="83" t="s">
        <v>267</v>
      </c>
      <c r="C52" s="66">
        <f>4049707+500000</f>
        <v>4549707</v>
      </c>
      <c r="D52" s="66">
        <v>0</v>
      </c>
      <c r="E52" s="66">
        <f t="shared" ref="E52:E54" si="12">C52</f>
        <v>4549707</v>
      </c>
      <c r="F52" s="199">
        <v>22.838466192438325</v>
      </c>
      <c r="G52" s="66">
        <f>E52*F52</f>
        <v>103908329.505</v>
      </c>
      <c r="H52" s="136"/>
      <c r="I52" s="60"/>
    </row>
    <row r="53" spans="1:11" s="58" customFormat="1" ht="14.15" customHeight="1" x14ac:dyDescent="0.3">
      <c r="A53" s="277"/>
      <c r="B53" s="83" t="s">
        <v>257</v>
      </c>
      <c r="C53" s="66">
        <f>1220300+1228300+1214200+807882+890997</f>
        <v>5361679</v>
      </c>
      <c r="D53" s="66">
        <v>0</v>
      </c>
      <c r="E53" s="66">
        <f t="shared" si="12"/>
        <v>5361679</v>
      </c>
      <c r="F53" s="199">
        <v>22.176055489465146</v>
      </c>
      <c r="G53" s="66">
        <f>E53*F53</f>
        <v>118900891.02069999</v>
      </c>
      <c r="H53" s="136"/>
      <c r="I53" s="60"/>
    </row>
    <row r="54" spans="1:11" s="58" customFormat="1" ht="14.15" customHeight="1" x14ac:dyDescent="0.3">
      <c r="A54" s="278"/>
      <c r="B54" s="83" t="s">
        <v>256</v>
      </c>
      <c r="C54" s="66">
        <f>1160000+1170000+1200000+1220000+1220000</f>
        <v>5970000</v>
      </c>
      <c r="D54" s="66">
        <v>0</v>
      </c>
      <c r="E54" s="66">
        <f t="shared" si="12"/>
        <v>5970000</v>
      </c>
      <c r="F54" s="199">
        <v>21.395930485762143</v>
      </c>
      <c r="G54" s="66">
        <f>E54*F54</f>
        <v>127733705</v>
      </c>
      <c r="H54" s="136"/>
      <c r="I54" s="60"/>
    </row>
    <row r="55" spans="1:11" s="58" customFormat="1" x14ac:dyDescent="0.3">
      <c r="A55" s="132"/>
      <c r="B55" s="54"/>
      <c r="C55" s="65"/>
      <c r="D55" s="66"/>
      <c r="E55" s="65"/>
      <c r="F55" s="199"/>
      <c r="G55" s="66"/>
      <c r="H55" s="136"/>
      <c r="I55" s="60"/>
    </row>
    <row r="56" spans="1:11" s="58" customFormat="1" ht="14.15" customHeight="1" x14ac:dyDescent="0.3">
      <c r="A56" s="279" t="s">
        <v>244</v>
      </c>
      <c r="B56" s="83" t="s">
        <v>255</v>
      </c>
      <c r="C56" s="66">
        <v>200000</v>
      </c>
      <c r="D56" s="66">
        <v>0</v>
      </c>
      <c r="E56" s="66">
        <f>C56</f>
        <v>200000</v>
      </c>
      <c r="F56" s="199">
        <v>24.78</v>
      </c>
      <c r="G56" s="66">
        <f>E56*F56</f>
        <v>4956000</v>
      </c>
      <c r="H56" s="136"/>
      <c r="I56" s="60"/>
    </row>
    <row r="57" spans="1:11" s="58" customFormat="1" x14ac:dyDescent="0.3">
      <c r="A57" s="277"/>
      <c r="B57" s="55" t="s">
        <v>253</v>
      </c>
      <c r="C57" s="66">
        <v>1000000</v>
      </c>
      <c r="D57" s="66">
        <v>0</v>
      </c>
      <c r="E57" s="66">
        <f>C57</f>
        <v>1000000</v>
      </c>
      <c r="F57" s="199">
        <v>24.63</v>
      </c>
      <c r="G57" s="66">
        <f>E57*F57</f>
        <v>24630000</v>
      </c>
      <c r="H57" s="136"/>
      <c r="I57" s="60"/>
    </row>
    <row r="58" spans="1:11" s="58" customFormat="1" x14ac:dyDescent="0.3">
      <c r="A58" s="278"/>
      <c r="B58" s="55" t="s">
        <v>254</v>
      </c>
      <c r="C58" s="162">
        <v>200000</v>
      </c>
      <c r="D58" s="162">
        <v>0</v>
      </c>
      <c r="E58" s="162">
        <f>C58</f>
        <v>200000</v>
      </c>
      <c r="F58" s="201">
        <v>25.01</v>
      </c>
      <c r="G58" s="162">
        <f>E58*F58</f>
        <v>5002000</v>
      </c>
      <c r="H58" s="136"/>
      <c r="I58" s="60"/>
    </row>
    <row r="59" spans="1:11" s="58" customFormat="1" x14ac:dyDescent="0.3">
      <c r="A59" s="132"/>
      <c r="B59" s="54"/>
      <c r="C59" s="65"/>
      <c r="D59" s="66"/>
      <c r="E59" s="65"/>
      <c r="F59" s="199"/>
      <c r="G59" s="66"/>
      <c r="H59" s="136"/>
      <c r="I59" s="60"/>
    </row>
    <row r="60" spans="1:11" s="58" customFormat="1" x14ac:dyDescent="0.3">
      <c r="A60" s="283" t="s">
        <v>241</v>
      </c>
      <c r="B60" s="55" t="s">
        <v>235</v>
      </c>
      <c r="C60" s="66">
        <v>2467205</v>
      </c>
      <c r="D60" s="66">
        <v>0</v>
      </c>
      <c r="E60" s="66">
        <f>C60</f>
        <v>2467205</v>
      </c>
      <c r="F60" s="199">
        <v>23.59</v>
      </c>
      <c r="G60" s="66">
        <f>E60*F60</f>
        <v>58201365.950000003</v>
      </c>
      <c r="H60" s="136"/>
      <c r="I60" s="60"/>
    </row>
    <row r="61" spans="1:11" s="58" customFormat="1" x14ac:dyDescent="0.3">
      <c r="A61" s="284"/>
      <c r="B61" s="55" t="s">
        <v>226</v>
      </c>
      <c r="C61" s="66">
        <v>779362</v>
      </c>
      <c r="D61" s="66">
        <v>0</v>
      </c>
      <c r="E61" s="66">
        <f>C61</f>
        <v>779362</v>
      </c>
      <c r="F61" s="199">
        <v>23.93</v>
      </c>
      <c r="G61" s="66">
        <f>E61*F61</f>
        <v>18650132.66</v>
      </c>
      <c r="H61" s="136"/>
      <c r="I61" s="188"/>
    </row>
    <row r="62" spans="1:11" s="58" customFormat="1" x14ac:dyDescent="0.3">
      <c r="A62" s="284"/>
      <c r="B62" s="55" t="s">
        <v>225</v>
      </c>
      <c r="C62" s="66">
        <v>133663</v>
      </c>
      <c r="D62" s="66">
        <v>0</v>
      </c>
      <c r="E62" s="66">
        <f>C62</f>
        <v>133663</v>
      </c>
      <c r="F62" s="199">
        <v>23.79</v>
      </c>
      <c r="G62" s="66">
        <f>E62*F62</f>
        <v>3179842.77</v>
      </c>
      <c r="H62" s="136"/>
      <c r="I62" s="60"/>
    </row>
    <row r="63" spans="1:11" s="58" customFormat="1" x14ac:dyDescent="0.3">
      <c r="A63" s="285"/>
      <c r="B63" s="164" t="s">
        <v>224</v>
      </c>
      <c r="C63" s="162">
        <v>2307679</v>
      </c>
      <c r="D63" s="162">
        <v>0</v>
      </c>
      <c r="E63" s="162">
        <f>C63</f>
        <v>2307679</v>
      </c>
      <c r="F63" s="201">
        <v>24.92</v>
      </c>
      <c r="G63" s="162">
        <f>E63*F63</f>
        <v>57507360.680000007</v>
      </c>
      <c r="H63" s="136"/>
      <c r="I63" s="189"/>
      <c r="K63" s="190"/>
    </row>
    <row r="64" spans="1:11" s="58" customFormat="1" x14ac:dyDescent="0.3">
      <c r="A64" s="132"/>
      <c r="B64" s="54"/>
      <c r="C64" s="65"/>
      <c r="D64" s="66"/>
      <c r="E64" s="65"/>
      <c r="F64" s="199"/>
      <c r="G64" s="66"/>
      <c r="H64" s="136"/>
      <c r="I64" s="60"/>
    </row>
    <row r="65" spans="1:9" s="58" customFormat="1" ht="15" customHeight="1" x14ac:dyDescent="0.3">
      <c r="A65" s="283" t="s">
        <v>213</v>
      </c>
      <c r="B65" s="55" t="s">
        <v>212</v>
      </c>
      <c r="C65" s="66">
        <v>6441601</v>
      </c>
      <c r="D65" s="66">
        <v>0</v>
      </c>
      <c r="E65" s="66">
        <f t="shared" ref="E65:E70" si="13">+C65</f>
        <v>6441601</v>
      </c>
      <c r="F65" s="199">
        <v>27.012</v>
      </c>
      <c r="G65" s="66">
        <f t="shared" ref="G65:G70" si="14">E65*F65</f>
        <v>174000526.21200001</v>
      </c>
      <c r="H65" s="136"/>
      <c r="I65" s="60"/>
    </row>
    <row r="66" spans="1:9" s="58" customFormat="1" x14ac:dyDescent="0.3">
      <c r="A66" s="284"/>
      <c r="B66" s="55" t="s">
        <v>211</v>
      </c>
      <c r="C66" s="66">
        <v>3823988</v>
      </c>
      <c r="D66" s="66">
        <v>0</v>
      </c>
      <c r="E66" s="66">
        <f t="shared" si="13"/>
        <v>3823988</v>
      </c>
      <c r="F66" s="199">
        <v>25.988499999999998</v>
      </c>
      <c r="G66" s="66">
        <f t="shared" si="14"/>
        <v>99379712.137999997</v>
      </c>
      <c r="H66" s="136"/>
      <c r="I66" s="60"/>
    </row>
    <row r="67" spans="1:9" s="58" customFormat="1" ht="15" customHeight="1" x14ac:dyDescent="0.3">
      <c r="A67" s="284"/>
      <c r="B67" s="55" t="s">
        <v>208</v>
      </c>
      <c r="C67" s="66">
        <v>3747359</v>
      </c>
      <c r="D67" s="66">
        <v>0</v>
      </c>
      <c r="E67" s="66">
        <f t="shared" si="13"/>
        <v>3747359</v>
      </c>
      <c r="F67" s="199">
        <v>26.253900000000002</v>
      </c>
      <c r="G67" s="66">
        <f t="shared" si="14"/>
        <v>98382788.450100005</v>
      </c>
      <c r="H67" s="136"/>
      <c r="I67" s="60"/>
    </row>
    <row r="68" spans="1:9" s="58" customFormat="1" x14ac:dyDescent="0.3">
      <c r="A68" s="284"/>
      <c r="B68" s="55" t="s">
        <v>207</v>
      </c>
      <c r="C68" s="66">
        <v>1626773</v>
      </c>
      <c r="D68" s="66">
        <v>0</v>
      </c>
      <c r="E68" s="66">
        <f t="shared" si="13"/>
        <v>1626773</v>
      </c>
      <c r="F68" s="199">
        <v>29.457999999999998</v>
      </c>
      <c r="G68" s="66">
        <f t="shared" si="14"/>
        <v>47921479.033999994</v>
      </c>
      <c r="H68" s="136"/>
      <c r="I68" s="60"/>
    </row>
    <row r="69" spans="1:9" s="58" customFormat="1" x14ac:dyDescent="0.3">
      <c r="A69" s="284"/>
      <c r="B69" s="55" t="s">
        <v>206</v>
      </c>
      <c r="C69" s="66">
        <v>510652</v>
      </c>
      <c r="D69" s="66">
        <v>0</v>
      </c>
      <c r="E69" s="66">
        <f t="shared" si="13"/>
        <v>510652</v>
      </c>
      <c r="F69" s="199">
        <v>28.709199999999999</v>
      </c>
      <c r="G69" s="66">
        <f t="shared" si="14"/>
        <v>14660410.398399999</v>
      </c>
      <c r="H69" s="136"/>
      <c r="I69" s="60"/>
    </row>
    <row r="70" spans="1:9" s="58" customFormat="1" x14ac:dyDescent="0.3">
      <c r="A70" s="284"/>
      <c r="B70" s="55" t="s">
        <v>205</v>
      </c>
      <c r="C70" s="66">
        <v>2224568</v>
      </c>
      <c r="D70" s="66">
        <v>0</v>
      </c>
      <c r="E70" s="66">
        <f t="shared" si="13"/>
        <v>2224568</v>
      </c>
      <c r="F70" s="199">
        <v>28.060500000000001</v>
      </c>
      <c r="G70" s="66">
        <f t="shared" si="14"/>
        <v>62422490.364</v>
      </c>
      <c r="H70" s="136"/>
      <c r="I70" s="60"/>
    </row>
    <row r="71" spans="1:9" s="58" customFormat="1" x14ac:dyDescent="0.3">
      <c r="A71" s="284"/>
      <c r="B71" s="133" t="s">
        <v>204</v>
      </c>
      <c r="C71" s="71">
        <v>730000</v>
      </c>
      <c r="D71" s="71">
        <v>0</v>
      </c>
      <c r="E71" s="71">
        <f t="shared" ref="E71:E76" si="15">+C71</f>
        <v>730000</v>
      </c>
      <c r="F71" s="202">
        <v>27.42</v>
      </c>
      <c r="G71" s="71">
        <f>E71*F71</f>
        <v>20016600</v>
      </c>
      <c r="H71" s="136"/>
      <c r="I71" s="60"/>
    </row>
    <row r="72" spans="1:9" ht="15" customHeight="1" x14ac:dyDescent="0.3">
      <c r="A72" s="284"/>
      <c r="B72" s="55" t="s">
        <v>203</v>
      </c>
      <c r="C72" s="65">
        <v>2017708</v>
      </c>
      <c r="D72" s="66">
        <v>0</v>
      </c>
      <c r="E72" s="65">
        <f t="shared" si="15"/>
        <v>2017708</v>
      </c>
      <c r="F72" s="199">
        <v>22.59</v>
      </c>
      <c r="G72" s="66">
        <f t="shared" ref="G72:G76" si="16">E72*F72</f>
        <v>45580023.719999999</v>
      </c>
      <c r="H72" s="64"/>
      <c r="I72" s="64"/>
    </row>
    <row r="73" spans="1:9" ht="15" customHeight="1" x14ac:dyDescent="0.3">
      <c r="A73" s="284"/>
      <c r="B73" s="55" t="s">
        <v>195</v>
      </c>
      <c r="C73" s="65">
        <v>1508838</v>
      </c>
      <c r="D73" s="66">
        <v>0</v>
      </c>
      <c r="E73" s="65">
        <f t="shared" si="15"/>
        <v>1508838</v>
      </c>
      <c r="F73" s="199">
        <v>22.85</v>
      </c>
      <c r="G73" s="66">
        <f t="shared" si="16"/>
        <v>34476948.300000004</v>
      </c>
      <c r="H73" s="64"/>
      <c r="I73" s="64"/>
    </row>
    <row r="74" spans="1:9" ht="15" customHeight="1" x14ac:dyDescent="0.3">
      <c r="A74" s="284"/>
      <c r="B74" s="55" t="s">
        <v>194</v>
      </c>
      <c r="C74" s="65">
        <v>2250000</v>
      </c>
      <c r="D74" s="66">
        <v>0</v>
      </c>
      <c r="E74" s="65">
        <f t="shared" si="15"/>
        <v>2250000</v>
      </c>
      <c r="F74" s="199">
        <v>22.36</v>
      </c>
      <c r="G74" s="66">
        <f t="shared" si="16"/>
        <v>50310000</v>
      </c>
      <c r="H74" s="64"/>
      <c r="I74" s="64"/>
    </row>
    <row r="75" spans="1:9" ht="15" customHeight="1" x14ac:dyDescent="0.3">
      <c r="A75" s="284"/>
      <c r="B75" s="55" t="s">
        <v>193</v>
      </c>
      <c r="C75" s="65">
        <v>2250000</v>
      </c>
      <c r="D75" s="66">
        <v>0</v>
      </c>
      <c r="E75" s="65">
        <f t="shared" si="15"/>
        <v>2250000</v>
      </c>
      <c r="F75" s="199">
        <v>21.57</v>
      </c>
      <c r="G75" s="66">
        <f t="shared" si="16"/>
        <v>48532500</v>
      </c>
      <c r="H75" s="64"/>
      <c r="I75" s="64"/>
    </row>
    <row r="76" spans="1:9" ht="15" customHeight="1" x14ac:dyDescent="0.3">
      <c r="A76" s="284"/>
      <c r="B76" s="269" t="s">
        <v>192</v>
      </c>
      <c r="C76" s="270">
        <v>2250000</v>
      </c>
      <c r="D76" s="162">
        <v>0</v>
      </c>
      <c r="E76" s="270">
        <f t="shared" si="15"/>
        <v>2250000</v>
      </c>
      <c r="F76" s="201">
        <v>21.32</v>
      </c>
      <c r="G76" s="162">
        <f t="shared" si="16"/>
        <v>47970000</v>
      </c>
      <c r="H76" s="64"/>
      <c r="I76" s="64"/>
    </row>
    <row r="77" spans="1:9" ht="15" customHeight="1" x14ac:dyDescent="0.3">
      <c r="A77" s="284"/>
      <c r="B77" s="55" t="s">
        <v>8</v>
      </c>
      <c r="C77" s="65">
        <v>5850000</v>
      </c>
      <c r="D77" s="66">
        <v>0</v>
      </c>
      <c r="E77" s="65">
        <f t="shared" ref="E77:E84" si="17">+C77</f>
        <v>5850000</v>
      </c>
      <c r="F77" s="199">
        <v>20.399999999999999</v>
      </c>
      <c r="G77" s="66">
        <f>E77*F77</f>
        <v>119339999.99999999</v>
      </c>
      <c r="H77" s="64"/>
      <c r="I77" s="64"/>
    </row>
    <row r="78" spans="1:9" ht="15" customHeight="1" x14ac:dyDescent="0.35">
      <c r="A78" s="284"/>
      <c r="B78" s="55" t="s">
        <v>9</v>
      </c>
      <c r="C78" s="65">
        <v>2120000</v>
      </c>
      <c r="D78" s="66">
        <v>0</v>
      </c>
      <c r="E78" s="65">
        <f t="shared" si="17"/>
        <v>2120000</v>
      </c>
      <c r="F78" s="199">
        <v>21.69</v>
      </c>
      <c r="G78" s="66">
        <f t="shared" ref="G78:G85" si="18">E78*F78</f>
        <v>45982800</v>
      </c>
      <c r="H78" s="131"/>
      <c r="I78" s="64"/>
    </row>
    <row r="79" spans="1:9" ht="15" customHeight="1" x14ac:dyDescent="0.3">
      <c r="A79" s="284"/>
      <c r="B79" s="55" t="s">
        <v>10</v>
      </c>
      <c r="C79" s="65">
        <v>1250000</v>
      </c>
      <c r="D79" s="66">
        <v>0</v>
      </c>
      <c r="E79" s="65">
        <f t="shared" si="17"/>
        <v>1250000</v>
      </c>
      <c r="F79" s="199">
        <v>22.12</v>
      </c>
      <c r="G79" s="66">
        <f t="shared" si="18"/>
        <v>27650000</v>
      </c>
      <c r="H79" s="64"/>
      <c r="I79" s="64"/>
    </row>
    <row r="80" spans="1:9" ht="15" customHeight="1" x14ac:dyDescent="0.3">
      <c r="A80" s="284"/>
      <c r="B80" s="55" t="s">
        <v>11</v>
      </c>
      <c r="C80" s="65">
        <v>1149843</v>
      </c>
      <c r="D80" s="66">
        <v>0</v>
      </c>
      <c r="E80" s="65">
        <f t="shared" si="17"/>
        <v>1149843</v>
      </c>
      <c r="F80" s="199">
        <v>22.51</v>
      </c>
      <c r="G80" s="66">
        <f t="shared" si="18"/>
        <v>25882965.930000003</v>
      </c>
      <c r="H80" s="64"/>
      <c r="I80" s="64"/>
    </row>
    <row r="81" spans="1:9" ht="15" customHeight="1" x14ac:dyDescent="0.3">
      <c r="A81" s="284"/>
      <c r="B81" s="55" t="s">
        <v>12</v>
      </c>
      <c r="C81" s="65">
        <v>1732133</v>
      </c>
      <c r="D81" s="66">
        <v>0</v>
      </c>
      <c r="E81" s="65">
        <f t="shared" si="17"/>
        <v>1732133</v>
      </c>
      <c r="F81" s="199">
        <v>24</v>
      </c>
      <c r="G81" s="66">
        <f t="shared" si="18"/>
        <v>41571192</v>
      </c>
      <c r="H81" s="67"/>
      <c r="I81" s="64"/>
    </row>
    <row r="82" spans="1:9" ht="15" customHeight="1" x14ac:dyDescent="0.3">
      <c r="A82" s="284"/>
      <c r="B82" s="55" t="s">
        <v>13</v>
      </c>
      <c r="C82" s="65">
        <v>5103527</v>
      </c>
      <c r="D82" s="66">
        <v>0</v>
      </c>
      <c r="E82" s="65">
        <f t="shared" si="17"/>
        <v>5103527</v>
      </c>
      <c r="F82" s="199">
        <v>23.44</v>
      </c>
      <c r="G82" s="66">
        <f t="shared" si="18"/>
        <v>119626672.88000001</v>
      </c>
      <c r="H82" s="67"/>
      <c r="I82" s="64"/>
    </row>
    <row r="83" spans="1:9" x14ac:dyDescent="0.3">
      <c r="A83" s="284"/>
      <c r="B83" s="55" t="s">
        <v>14</v>
      </c>
      <c r="C83" s="65">
        <v>4232831</v>
      </c>
      <c r="D83" s="66">
        <v>0</v>
      </c>
      <c r="E83" s="115">
        <f t="shared" si="17"/>
        <v>4232831</v>
      </c>
      <c r="F83" s="199">
        <v>24.3</v>
      </c>
      <c r="G83" s="66">
        <f t="shared" si="18"/>
        <v>102857793.3</v>
      </c>
      <c r="H83" s="57"/>
      <c r="I83" s="64"/>
    </row>
    <row r="84" spans="1:9" x14ac:dyDescent="0.3">
      <c r="A84" s="284"/>
      <c r="B84" s="55" t="s">
        <v>15</v>
      </c>
      <c r="C84" s="65">
        <v>3565272</v>
      </c>
      <c r="D84" s="66">
        <v>0</v>
      </c>
      <c r="E84" s="65">
        <f t="shared" si="17"/>
        <v>3565272</v>
      </c>
      <c r="F84" s="199">
        <v>24.42</v>
      </c>
      <c r="G84" s="66">
        <f t="shared" si="18"/>
        <v>87063942.24000001</v>
      </c>
      <c r="H84" s="57"/>
      <c r="I84" s="64"/>
    </row>
    <row r="85" spans="1:9" x14ac:dyDescent="0.3">
      <c r="A85" s="285"/>
      <c r="B85" s="55" t="s">
        <v>16</v>
      </c>
      <c r="C85" s="65">
        <v>6046287</v>
      </c>
      <c r="D85" s="66">
        <v>0</v>
      </c>
      <c r="E85" s="65">
        <f>+C85</f>
        <v>6046287</v>
      </c>
      <c r="F85" s="199">
        <v>23.59</v>
      </c>
      <c r="G85" s="66">
        <f t="shared" si="18"/>
        <v>142631910.33000001</v>
      </c>
      <c r="H85" s="68"/>
      <c r="I85" s="57"/>
    </row>
    <row r="86" spans="1:9" x14ac:dyDescent="0.3">
      <c r="A86" s="132"/>
      <c r="C86" s="65"/>
      <c r="D86" s="66"/>
      <c r="E86" s="65"/>
      <c r="G86" s="66"/>
      <c r="H86" s="68"/>
      <c r="I86" s="57"/>
    </row>
    <row r="87" spans="1:9" ht="14.5" customHeight="1" x14ac:dyDescent="0.3">
      <c r="A87" s="283" t="s">
        <v>17</v>
      </c>
      <c r="B87" s="54" t="s">
        <v>18</v>
      </c>
      <c r="C87" s="65">
        <v>2373805</v>
      </c>
      <c r="D87" s="66">
        <v>0</v>
      </c>
      <c r="E87" s="65">
        <f>+C87</f>
        <v>2373805</v>
      </c>
      <c r="F87" s="199">
        <v>30.3462</v>
      </c>
      <c r="G87" s="66">
        <f>E87*F87</f>
        <v>72035961.290999994</v>
      </c>
      <c r="H87" s="67"/>
      <c r="I87" s="64"/>
    </row>
    <row r="88" spans="1:9" ht="14.5" customHeight="1" x14ac:dyDescent="0.3">
      <c r="A88" s="284"/>
      <c r="B88" s="54" t="s">
        <v>19</v>
      </c>
      <c r="C88" s="65">
        <v>7364640</v>
      </c>
      <c r="D88" s="66">
        <v>0</v>
      </c>
      <c r="E88" s="65">
        <f>+C88</f>
        <v>7364640</v>
      </c>
      <c r="F88" s="199">
        <v>30.1921</v>
      </c>
      <c r="G88" s="66">
        <f>E88*F88</f>
        <v>222353947.34400001</v>
      </c>
      <c r="H88" s="67"/>
      <c r="I88" s="64"/>
    </row>
    <row r="89" spans="1:9" x14ac:dyDescent="0.3">
      <c r="A89" s="284"/>
      <c r="B89" s="54" t="s">
        <v>20</v>
      </c>
      <c r="C89" s="65">
        <v>6717395</v>
      </c>
      <c r="D89" s="66">
        <v>0</v>
      </c>
      <c r="E89" s="65">
        <v>6717395</v>
      </c>
      <c r="F89" s="199">
        <v>28.924900000000001</v>
      </c>
      <c r="G89" s="66">
        <f>E89*F89</f>
        <v>194299978.63550001</v>
      </c>
      <c r="H89" s="57"/>
      <c r="I89" s="64"/>
    </row>
    <row r="90" spans="1:9" x14ac:dyDescent="0.3">
      <c r="A90" s="284"/>
      <c r="B90" s="54" t="s">
        <v>21</v>
      </c>
      <c r="C90" s="65">
        <v>8400000</v>
      </c>
      <c r="D90" s="66">
        <v>0</v>
      </c>
      <c r="E90" s="65">
        <v>8400000</v>
      </c>
      <c r="F90" s="199">
        <v>27.4742</v>
      </c>
      <c r="G90" s="66">
        <f>E90*F90</f>
        <v>230783280</v>
      </c>
      <c r="H90" s="57"/>
      <c r="I90" s="64"/>
    </row>
    <row r="91" spans="1:9" x14ac:dyDescent="0.3">
      <c r="A91" s="285"/>
      <c r="B91" s="54" t="s">
        <v>22</v>
      </c>
      <c r="C91" s="65">
        <v>8493757</v>
      </c>
      <c r="D91" s="66">
        <v>0</v>
      </c>
      <c r="E91" s="65">
        <v>8493757</v>
      </c>
      <c r="F91" s="199">
        <v>26.2669</v>
      </c>
      <c r="G91" s="66">
        <f>E91*F91</f>
        <v>223104665.74329999</v>
      </c>
      <c r="H91" s="68"/>
      <c r="I91" s="57"/>
    </row>
    <row r="92" spans="1:9" x14ac:dyDescent="0.3">
      <c r="B92" s="64"/>
      <c r="C92" s="69"/>
      <c r="D92" s="69"/>
      <c r="E92" s="70"/>
      <c r="F92" s="203"/>
      <c r="G92" s="70"/>
      <c r="H92" s="57"/>
      <c r="I92" s="64"/>
    </row>
    <row r="93" spans="1:9" ht="15" customHeight="1" x14ac:dyDescent="0.3">
      <c r="A93" s="283" t="s">
        <v>23</v>
      </c>
      <c r="B93" s="54" t="s">
        <v>24</v>
      </c>
      <c r="C93" s="66">
        <v>366664</v>
      </c>
      <c r="D93" s="66">
        <v>0</v>
      </c>
      <c r="E93" s="66">
        <v>366664</v>
      </c>
      <c r="F93" s="199">
        <v>27.45</v>
      </c>
      <c r="G93" s="66">
        <f>E93*F93</f>
        <v>10064926.799999999</v>
      </c>
      <c r="H93" s="57"/>
      <c r="I93" s="64"/>
    </row>
    <row r="94" spans="1:9" x14ac:dyDescent="0.3">
      <c r="A94" s="284"/>
      <c r="B94" s="54" t="s">
        <v>25</v>
      </c>
      <c r="C94" s="66">
        <v>3634500</v>
      </c>
      <c r="D94" s="66">
        <v>0</v>
      </c>
      <c r="E94" s="66">
        <v>3634500</v>
      </c>
      <c r="F94" s="199">
        <v>30.46</v>
      </c>
      <c r="G94" s="66">
        <f>E94*F94</f>
        <v>110706870</v>
      </c>
      <c r="H94" s="57"/>
      <c r="I94" s="64"/>
    </row>
    <row r="95" spans="1:9" x14ac:dyDescent="0.3">
      <c r="A95" s="284"/>
      <c r="B95" s="54" t="s">
        <v>26</v>
      </c>
      <c r="C95" s="66">
        <v>3755000</v>
      </c>
      <c r="D95" s="66">
        <v>0</v>
      </c>
      <c r="E95" s="66">
        <v>3755000</v>
      </c>
      <c r="F95" s="199">
        <v>29.4</v>
      </c>
      <c r="G95" s="66">
        <f>E95*F95</f>
        <v>110397000</v>
      </c>
      <c r="H95" s="57"/>
      <c r="I95" s="64"/>
    </row>
    <row r="96" spans="1:9" x14ac:dyDescent="0.3">
      <c r="A96" s="284"/>
      <c r="B96" s="54" t="s">
        <v>27</v>
      </c>
      <c r="C96" s="66">
        <v>4809000</v>
      </c>
      <c r="D96" s="66">
        <v>0</v>
      </c>
      <c r="E96" s="66">
        <v>4809000</v>
      </c>
      <c r="F96" s="199">
        <v>28.51</v>
      </c>
      <c r="G96" s="66">
        <f t="shared" ref="G96:G104" si="19">E96*F96</f>
        <v>137104590</v>
      </c>
      <c r="H96" s="57"/>
      <c r="I96" s="57"/>
    </row>
    <row r="97" spans="1:9" x14ac:dyDescent="0.3">
      <c r="A97" s="284"/>
      <c r="B97" s="271" t="s">
        <v>28</v>
      </c>
      <c r="C97" s="162">
        <v>921000</v>
      </c>
      <c r="D97" s="162">
        <v>0</v>
      </c>
      <c r="E97" s="162">
        <v>921000</v>
      </c>
      <c r="F97" s="201">
        <v>29.4</v>
      </c>
      <c r="G97" s="162">
        <f t="shared" si="19"/>
        <v>27077400</v>
      </c>
      <c r="H97" s="57"/>
      <c r="I97" s="57"/>
    </row>
    <row r="98" spans="1:9" x14ac:dyDescent="0.3">
      <c r="A98" s="284"/>
      <c r="B98" s="272" t="s">
        <v>29</v>
      </c>
      <c r="C98" s="162">
        <v>4101298</v>
      </c>
      <c r="D98" s="162">
        <v>0</v>
      </c>
      <c r="E98" s="162">
        <v>4101298</v>
      </c>
      <c r="F98" s="201">
        <v>29.867799999999999</v>
      </c>
      <c r="G98" s="162">
        <f t="shared" si="19"/>
        <v>122496748.40439999</v>
      </c>
      <c r="H98" s="57"/>
      <c r="I98" s="57"/>
    </row>
    <row r="99" spans="1:9" x14ac:dyDescent="0.3">
      <c r="A99" s="284"/>
      <c r="B99" s="54" t="s">
        <v>30</v>
      </c>
      <c r="C99" s="66">
        <v>1440438</v>
      </c>
      <c r="D99" s="66">
        <v>0</v>
      </c>
      <c r="E99" s="66">
        <v>1440438</v>
      </c>
      <c r="F99" s="199">
        <v>29.722000000000001</v>
      </c>
      <c r="G99" s="66">
        <f t="shared" si="19"/>
        <v>42812698.236000001</v>
      </c>
      <c r="H99" s="57"/>
      <c r="I99" s="57"/>
    </row>
    <row r="100" spans="1:9" s="72" customFormat="1" x14ac:dyDescent="0.3">
      <c r="A100" s="284"/>
      <c r="B100" s="54" t="s">
        <v>31</v>
      </c>
      <c r="C100" s="66">
        <v>4743883</v>
      </c>
      <c r="D100" s="66">
        <v>0</v>
      </c>
      <c r="E100" s="66">
        <v>4743883</v>
      </c>
      <c r="F100" s="199">
        <v>28.095500000000001</v>
      </c>
      <c r="G100" s="66">
        <f t="shared" si="19"/>
        <v>133281764.8265</v>
      </c>
      <c r="H100" s="57"/>
      <c r="I100" s="57"/>
    </row>
    <row r="101" spans="1:9" s="72" customFormat="1" x14ac:dyDescent="0.3">
      <c r="A101" s="284"/>
      <c r="B101" s="54" t="s">
        <v>32</v>
      </c>
      <c r="C101" s="66">
        <v>4720000</v>
      </c>
      <c r="D101" s="66">
        <v>0</v>
      </c>
      <c r="E101" s="66">
        <v>4720000</v>
      </c>
      <c r="F101" s="199">
        <v>26.759499999999999</v>
      </c>
      <c r="G101" s="66">
        <f t="shared" si="19"/>
        <v>126304840</v>
      </c>
      <c r="H101" s="57"/>
      <c r="I101" s="57"/>
    </row>
    <row r="102" spans="1:9" s="72" customFormat="1" x14ac:dyDescent="0.3">
      <c r="A102" s="284"/>
      <c r="B102" s="54" t="s">
        <v>33</v>
      </c>
      <c r="C102" s="66">
        <v>1490000</v>
      </c>
      <c r="D102" s="66">
        <v>0</v>
      </c>
      <c r="E102" s="66">
        <v>1490000</v>
      </c>
      <c r="F102" s="199">
        <v>28.518799999999999</v>
      </c>
      <c r="G102" s="66">
        <f t="shared" si="19"/>
        <v>42493012</v>
      </c>
      <c r="H102" s="57"/>
      <c r="I102" s="57"/>
    </row>
    <row r="103" spans="1:9" s="72" customFormat="1" x14ac:dyDescent="0.3">
      <c r="A103" s="284"/>
      <c r="B103" s="54" t="s">
        <v>34</v>
      </c>
      <c r="C103" s="66">
        <v>400000</v>
      </c>
      <c r="D103" s="66">
        <v>42813</v>
      </c>
      <c r="E103" s="66">
        <v>442813</v>
      </c>
      <c r="F103" s="199">
        <v>27.71</v>
      </c>
      <c r="G103" s="66">
        <f t="shared" si="19"/>
        <v>12270348.23</v>
      </c>
      <c r="H103" s="57"/>
      <c r="I103" s="57"/>
    </row>
    <row r="104" spans="1:9" s="72" customFormat="1" x14ac:dyDescent="0.3">
      <c r="A104" s="285"/>
      <c r="B104" s="54" t="s">
        <v>35</v>
      </c>
      <c r="C104" s="66">
        <v>845000</v>
      </c>
      <c r="D104" s="66">
        <v>482364</v>
      </c>
      <c r="E104" s="66">
        <v>1327364</v>
      </c>
      <c r="F104" s="199">
        <v>27.26</v>
      </c>
      <c r="G104" s="66">
        <f t="shared" si="19"/>
        <v>36183942.640000001</v>
      </c>
      <c r="H104" s="57"/>
      <c r="I104" s="57"/>
    </row>
    <row r="105" spans="1:9" s="72" customFormat="1" x14ac:dyDescent="0.3">
      <c r="A105" s="73"/>
      <c r="B105" s="61"/>
      <c r="C105" s="62"/>
      <c r="D105" s="62"/>
      <c r="E105" s="63"/>
      <c r="F105" s="204"/>
      <c r="G105" s="63"/>
      <c r="H105" s="57"/>
      <c r="I105" s="57"/>
    </row>
    <row r="106" spans="1:9" x14ac:dyDescent="0.3">
      <c r="A106" s="283" t="s">
        <v>36</v>
      </c>
      <c r="B106" s="54" t="s">
        <v>37</v>
      </c>
      <c r="C106" s="66">
        <v>2818608</v>
      </c>
      <c r="D106" s="66">
        <v>1608989</v>
      </c>
      <c r="E106" s="66">
        <v>4427597</v>
      </c>
      <c r="F106" s="199">
        <v>27.07</v>
      </c>
      <c r="G106" s="66">
        <f t="shared" ref="G106:G112" si="20">E106*F106</f>
        <v>119855050.79000001</v>
      </c>
      <c r="H106" s="57"/>
      <c r="I106" s="57"/>
    </row>
    <row r="107" spans="1:9" x14ac:dyDescent="0.3">
      <c r="A107" s="284"/>
      <c r="B107" s="54" t="s">
        <v>38</v>
      </c>
      <c r="C107" s="66">
        <v>5255000</v>
      </c>
      <c r="D107" s="66">
        <v>2999792</v>
      </c>
      <c r="E107" s="66">
        <v>8254792</v>
      </c>
      <c r="F107" s="199">
        <v>26.21</v>
      </c>
      <c r="G107" s="66">
        <f t="shared" si="20"/>
        <v>216358098.31999999</v>
      </c>
      <c r="H107" s="57"/>
      <c r="I107" s="74"/>
    </row>
    <row r="108" spans="1:9" x14ac:dyDescent="0.3">
      <c r="A108" s="284"/>
      <c r="B108" s="54" t="s">
        <v>39</v>
      </c>
      <c r="C108" s="66">
        <v>5579000</v>
      </c>
      <c r="D108" s="66">
        <v>3184746</v>
      </c>
      <c r="E108" s="66">
        <v>8763746</v>
      </c>
      <c r="F108" s="199">
        <v>24.54</v>
      </c>
      <c r="G108" s="66">
        <f t="shared" si="20"/>
        <v>215062326.84</v>
      </c>
      <c r="H108" s="57"/>
      <c r="I108" s="74"/>
    </row>
    <row r="109" spans="1:9" x14ac:dyDescent="0.3">
      <c r="A109" s="284"/>
      <c r="B109" s="54" t="s">
        <v>40</v>
      </c>
      <c r="C109" s="66">
        <v>5313000</v>
      </c>
      <c r="D109" s="66">
        <v>3032899</v>
      </c>
      <c r="E109" s="66">
        <v>8345899</v>
      </c>
      <c r="F109" s="199">
        <v>25.84</v>
      </c>
      <c r="G109" s="66">
        <f t="shared" si="20"/>
        <v>215658030.16</v>
      </c>
      <c r="H109" s="57"/>
      <c r="I109" s="74"/>
    </row>
    <row r="110" spans="1:9" x14ac:dyDescent="0.3">
      <c r="A110" s="284"/>
      <c r="B110" s="54" t="s">
        <v>41</v>
      </c>
      <c r="C110" s="66">
        <v>1047500</v>
      </c>
      <c r="D110" s="66">
        <v>597960</v>
      </c>
      <c r="E110" s="66">
        <v>1645460</v>
      </c>
      <c r="F110" s="199">
        <v>26.24</v>
      </c>
      <c r="G110" s="66">
        <f t="shared" si="20"/>
        <v>43176870.399999999</v>
      </c>
      <c r="H110" s="57"/>
      <c r="I110" s="74"/>
    </row>
    <row r="111" spans="1:9" x14ac:dyDescent="0.3">
      <c r="A111" s="284"/>
      <c r="B111" s="54" t="s">
        <v>42</v>
      </c>
      <c r="C111" s="66">
        <v>500000</v>
      </c>
      <c r="D111" s="66">
        <v>285423</v>
      </c>
      <c r="E111" s="66">
        <v>785423</v>
      </c>
      <c r="F111" s="199">
        <v>28.62</v>
      </c>
      <c r="G111" s="66">
        <f t="shared" si="20"/>
        <v>22478806.260000002</v>
      </c>
      <c r="H111" s="57"/>
      <c r="I111" s="74"/>
    </row>
    <row r="112" spans="1:9" x14ac:dyDescent="0.3">
      <c r="A112" s="285"/>
      <c r="B112" s="54" t="s">
        <v>43</v>
      </c>
      <c r="C112" s="66">
        <v>1182250</v>
      </c>
      <c r="D112" s="66">
        <v>674882</v>
      </c>
      <c r="E112" s="66">
        <v>1857132</v>
      </c>
      <c r="F112" s="199">
        <v>28.58</v>
      </c>
      <c r="G112" s="66">
        <f t="shared" si="20"/>
        <v>53076832.559999995</v>
      </c>
      <c r="H112" s="57"/>
      <c r="I112" s="74"/>
    </row>
    <row r="113" spans="1:9" x14ac:dyDescent="0.3">
      <c r="C113" s="65"/>
      <c r="D113" s="65"/>
      <c r="E113" s="56"/>
      <c r="F113" s="203"/>
      <c r="G113" s="56"/>
      <c r="H113" s="57"/>
      <c r="I113" s="56"/>
    </row>
    <row r="114" spans="1:9" x14ac:dyDescent="0.3">
      <c r="A114" s="283" t="s">
        <v>44</v>
      </c>
      <c r="B114" s="75" t="s">
        <v>45</v>
      </c>
      <c r="C114" s="66">
        <v>290613</v>
      </c>
      <c r="D114" s="66">
        <v>165895</v>
      </c>
      <c r="E114" s="66">
        <v>456508</v>
      </c>
      <c r="F114" s="199">
        <v>28.9664</v>
      </c>
      <c r="G114" s="66">
        <f t="shared" ref="G114:G133" si="21">E114*F114</f>
        <v>13223393.3312</v>
      </c>
      <c r="H114" s="57"/>
      <c r="I114" s="74"/>
    </row>
    <row r="115" spans="1:9" x14ac:dyDescent="0.3">
      <c r="A115" s="284"/>
      <c r="B115" s="75" t="s">
        <v>46</v>
      </c>
      <c r="C115" s="66">
        <v>301586</v>
      </c>
      <c r="D115" s="66">
        <v>172159</v>
      </c>
      <c r="E115" s="66">
        <v>473745</v>
      </c>
      <c r="F115" s="199">
        <v>29.248100000000001</v>
      </c>
      <c r="G115" s="66">
        <f t="shared" si="21"/>
        <v>13856141.134500001</v>
      </c>
      <c r="H115" s="57"/>
      <c r="I115" s="74"/>
    </row>
    <row r="116" spans="1:9" x14ac:dyDescent="0.3">
      <c r="A116" s="284"/>
      <c r="B116" s="75" t="s">
        <v>47</v>
      </c>
      <c r="C116" s="66">
        <v>5860658</v>
      </c>
      <c r="D116" s="66">
        <v>3345529</v>
      </c>
      <c r="E116" s="66">
        <v>9206187</v>
      </c>
      <c r="F116" s="199">
        <v>28.781500000000001</v>
      </c>
      <c r="G116" s="66">
        <f t="shared" si="21"/>
        <v>264967871.14050001</v>
      </c>
      <c r="H116" s="57"/>
      <c r="I116" s="74"/>
    </row>
    <row r="117" spans="1:9" x14ac:dyDescent="0.3">
      <c r="A117" s="284"/>
      <c r="B117" s="75" t="s">
        <v>48</v>
      </c>
      <c r="C117" s="66">
        <v>8324947</v>
      </c>
      <c r="D117" s="66">
        <v>4752256</v>
      </c>
      <c r="E117" s="66">
        <v>13077203</v>
      </c>
      <c r="F117" s="199">
        <v>28.9239</v>
      </c>
      <c r="G117" s="66">
        <f t="shared" si="21"/>
        <v>378243711.85170001</v>
      </c>
      <c r="H117" s="57"/>
      <c r="I117" s="74"/>
    </row>
    <row r="118" spans="1:9" x14ac:dyDescent="0.3">
      <c r="A118" s="284"/>
      <c r="B118" s="75" t="s">
        <v>49</v>
      </c>
      <c r="C118" s="66">
        <v>3310000</v>
      </c>
      <c r="D118" s="66">
        <v>1889498</v>
      </c>
      <c r="E118" s="66">
        <v>5199498</v>
      </c>
      <c r="F118" s="199">
        <v>28.616399999999999</v>
      </c>
      <c r="G118" s="66">
        <f t="shared" si="21"/>
        <v>148790914.56720001</v>
      </c>
      <c r="H118" s="57"/>
      <c r="I118" s="74"/>
    </row>
    <row r="119" spans="1:9" x14ac:dyDescent="0.3">
      <c r="A119" s="284"/>
      <c r="B119" s="75" t="s">
        <v>50</v>
      </c>
      <c r="C119" s="66">
        <v>2834000</v>
      </c>
      <c r="D119" s="66">
        <v>1617776</v>
      </c>
      <c r="E119" s="66">
        <v>4451776</v>
      </c>
      <c r="F119" s="199">
        <v>28.431000000000001</v>
      </c>
      <c r="G119" s="66">
        <f t="shared" si="21"/>
        <v>126568443.456</v>
      </c>
      <c r="H119" s="57"/>
      <c r="I119" s="74"/>
    </row>
    <row r="120" spans="1:9" x14ac:dyDescent="0.3">
      <c r="A120" s="284"/>
      <c r="B120" s="75" t="s">
        <v>51</v>
      </c>
      <c r="C120" s="66">
        <v>2860000</v>
      </c>
      <c r="D120" s="66">
        <v>1632617</v>
      </c>
      <c r="E120" s="66">
        <v>4492617</v>
      </c>
      <c r="F120" s="199">
        <v>28.07</v>
      </c>
      <c r="G120" s="66">
        <f t="shared" si="21"/>
        <v>126107759.19</v>
      </c>
      <c r="H120" s="57"/>
      <c r="I120" s="74"/>
    </row>
    <row r="121" spans="1:9" x14ac:dyDescent="0.3">
      <c r="A121" s="284"/>
      <c r="B121" s="75" t="s">
        <v>52</v>
      </c>
      <c r="C121" s="66">
        <v>2000000</v>
      </c>
      <c r="D121" s="66">
        <v>1141690</v>
      </c>
      <c r="E121" s="66">
        <v>3141690</v>
      </c>
      <c r="F121" s="199">
        <v>25.61</v>
      </c>
      <c r="G121" s="66">
        <f t="shared" si="21"/>
        <v>80458680.899999991</v>
      </c>
      <c r="H121" s="57"/>
      <c r="I121" s="74"/>
    </row>
    <row r="122" spans="1:9" ht="14.25" customHeight="1" x14ac:dyDescent="0.3">
      <c r="A122" s="284"/>
      <c r="B122" s="75" t="s">
        <v>53</v>
      </c>
      <c r="C122" s="66">
        <v>2339000</v>
      </c>
      <c r="D122" s="66">
        <v>1335208</v>
      </c>
      <c r="E122" s="66">
        <v>3674208</v>
      </c>
      <c r="F122" s="199">
        <v>25.9</v>
      </c>
      <c r="G122" s="66">
        <f t="shared" si="21"/>
        <v>95161987.199999988</v>
      </c>
      <c r="H122" s="57"/>
      <c r="I122" s="74"/>
    </row>
    <row r="123" spans="1:9" x14ac:dyDescent="0.3">
      <c r="A123" s="284"/>
      <c r="B123" s="75" t="s">
        <v>54</v>
      </c>
      <c r="C123" s="66">
        <v>2750000</v>
      </c>
      <c r="D123" s="66">
        <v>1569825</v>
      </c>
      <c r="E123" s="66">
        <v>4319825</v>
      </c>
      <c r="F123" s="199">
        <v>24.9191</v>
      </c>
      <c r="G123" s="66">
        <f t="shared" si="21"/>
        <v>107646151.1575</v>
      </c>
      <c r="H123" s="57"/>
      <c r="I123" s="74"/>
    </row>
    <row r="124" spans="1:9" x14ac:dyDescent="0.3">
      <c r="A124" s="284"/>
      <c r="B124" s="75" t="s">
        <v>55</v>
      </c>
      <c r="C124" s="66">
        <v>2567000</v>
      </c>
      <c r="D124" s="66">
        <v>1465359</v>
      </c>
      <c r="E124" s="66">
        <v>4032359</v>
      </c>
      <c r="F124" s="199">
        <v>26.7</v>
      </c>
      <c r="G124" s="66">
        <f t="shared" si="21"/>
        <v>107663985.3</v>
      </c>
      <c r="H124" s="57"/>
      <c r="I124" s="48"/>
    </row>
    <row r="125" spans="1:9" ht="16.5" x14ac:dyDescent="0.35">
      <c r="A125" s="284"/>
      <c r="B125" s="75" t="s">
        <v>56</v>
      </c>
      <c r="C125" s="66">
        <v>2470000</v>
      </c>
      <c r="D125" s="66">
        <v>1409988</v>
      </c>
      <c r="E125" s="66">
        <v>3879988</v>
      </c>
      <c r="F125" s="199">
        <v>27.65</v>
      </c>
      <c r="G125" s="66">
        <f t="shared" si="21"/>
        <v>107281668.19999999</v>
      </c>
      <c r="H125" s="57"/>
      <c r="I125" s="1"/>
    </row>
    <row r="126" spans="1:9" ht="16.5" x14ac:dyDescent="0.35">
      <c r="A126" s="284"/>
      <c r="B126" s="75" t="s">
        <v>57</v>
      </c>
      <c r="C126" s="66">
        <v>2087037</v>
      </c>
      <c r="D126" s="66">
        <v>1191373</v>
      </c>
      <c r="E126" s="66">
        <v>3278410</v>
      </c>
      <c r="F126" s="199">
        <v>28.67</v>
      </c>
      <c r="G126" s="66">
        <f t="shared" si="21"/>
        <v>93992014.700000003</v>
      </c>
      <c r="H126" s="57"/>
      <c r="I126" s="1"/>
    </row>
    <row r="127" spans="1:9" ht="16.5" x14ac:dyDescent="0.35">
      <c r="A127" s="284"/>
      <c r="B127" s="75" t="s">
        <v>58</v>
      </c>
      <c r="C127" s="66">
        <v>1923600</v>
      </c>
      <c r="D127" s="66">
        <v>1098078</v>
      </c>
      <c r="E127" s="66">
        <v>3021678</v>
      </c>
      <c r="F127" s="199">
        <v>28.58</v>
      </c>
      <c r="G127" s="66">
        <f t="shared" si="21"/>
        <v>86359557.239999995</v>
      </c>
      <c r="H127" s="57"/>
      <c r="I127" s="1"/>
    </row>
    <row r="128" spans="1:9" x14ac:dyDescent="0.3">
      <c r="A128" s="284"/>
      <c r="B128" s="75" t="s">
        <v>59</v>
      </c>
      <c r="C128" s="66">
        <v>2461111</v>
      </c>
      <c r="D128" s="66">
        <v>1404913</v>
      </c>
      <c r="E128" s="66">
        <v>3866024</v>
      </c>
      <c r="F128" s="199">
        <v>28.03</v>
      </c>
      <c r="G128" s="66">
        <f t="shared" si="21"/>
        <v>108364652.72</v>
      </c>
      <c r="H128" s="57"/>
      <c r="I128" s="74"/>
    </row>
    <row r="129" spans="1:9" x14ac:dyDescent="0.3">
      <c r="A129" s="285"/>
      <c r="B129" s="75" t="s">
        <v>60</v>
      </c>
      <c r="C129" s="66">
        <v>529874</v>
      </c>
      <c r="D129" s="66">
        <v>302476</v>
      </c>
      <c r="E129" s="66">
        <v>832350</v>
      </c>
      <c r="F129" s="199">
        <v>27.1</v>
      </c>
      <c r="G129" s="66">
        <f t="shared" si="21"/>
        <v>22556685</v>
      </c>
      <c r="H129" s="57"/>
      <c r="I129" s="74"/>
    </row>
    <row r="130" spans="1:9" x14ac:dyDescent="0.3">
      <c r="B130" s="75"/>
      <c r="C130" s="65"/>
      <c r="D130" s="65"/>
      <c r="E130" s="56"/>
      <c r="F130" s="203"/>
      <c r="G130" s="56"/>
      <c r="H130" s="57"/>
      <c r="I130" s="56"/>
    </row>
    <row r="131" spans="1:9" x14ac:dyDescent="0.3">
      <c r="A131" s="283" t="s">
        <v>61</v>
      </c>
      <c r="B131" s="75" t="s">
        <v>62</v>
      </c>
      <c r="C131" s="65">
        <v>6558946</v>
      </c>
      <c r="D131" s="65">
        <v>3744143</v>
      </c>
      <c r="E131" s="66">
        <v>10303089</v>
      </c>
      <c r="F131" s="199">
        <v>25.150099999999998</v>
      </c>
      <c r="G131" s="66">
        <f t="shared" si="21"/>
        <v>259123718.65889999</v>
      </c>
      <c r="H131" s="57"/>
      <c r="I131" s="74"/>
    </row>
    <row r="132" spans="1:9" x14ac:dyDescent="0.3">
      <c r="A132" s="284"/>
      <c r="B132" s="75" t="s">
        <v>63</v>
      </c>
      <c r="C132" s="65">
        <v>8439372</v>
      </c>
      <c r="D132" s="65">
        <v>4817574</v>
      </c>
      <c r="E132" s="66">
        <v>13256946</v>
      </c>
      <c r="F132" s="199">
        <v>26.181899999999999</v>
      </c>
      <c r="G132" s="66">
        <f t="shared" si="21"/>
        <v>347092034.4774</v>
      </c>
      <c r="H132" s="57"/>
      <c r="I132" s="74"/>
    </row>
    <row r="133" spans="1:9" x14ac:dyDescent="0.3">
      <c r="A133" s="285"/>
      <c r="B133" s="76" t="s">
        <v>64</v>
      </c>
      <c r="C133" s="77">
        <v>571978</v>
      </c>
      <c r="D133" s="77">
        <v>326511</v>
      </c>
      <c r="E133" s="78">
        <v>898489</v>
      </c>
      <c r="F133" s="205">
        <v>26.869399999999999</v>
      </c>
      <c r="G133" s="78">
        <f t="shared" si="21"/>
        <v>24141860.336599998</v>
      </c>
      <c r="H133" s="57"/>
      <c r="I133" s="74"/>
    </row>
    <row r="134" spans="1:9" x14ac:dyDescent="0.3">
      <c r="B134" s="75"/>
      <c r="C134" s="65"/>
      <c r="D134" s="65"/>
      <c r="E134" s="56"/>
      <c r="F134" s="203"/>
      <c r="G134" s="56"/>
      <c r="H134" s="57"/>
      <c r="I134" s="56"/>
    </row>
    <row r="135" spans="1:9" x14ac:dyDescent="0.3">
      <c r="A135" s="283" t="s">
        <v>65</v>
      </c>
      <c r="B135" s="75" t="s">
        <v>66</v>
      </c>
      <c r="C135" s="66">
        <v>254801</v>
      </c>
      <c r="D135" s="66">
        <v>157429</v>
      </c>
      <c r="E135" s="66">
        <f>C135+D135</f>
        <v>412230</v>
      </c>
      <c r="F135" s="199">
        <v>24.34</v>
      </c>
      <c r="G135" s="66">
        <f t="shared" ref="G135:G144" si="22">E135*F135</f>
        <v>10033678.199999999</v>
      </c>
      <c r="H135" s="57"/>
      <c r="I135" s="74"/>
    </row>
    <row r="136" spans="1:9" x14ac:dyDescent="0.3">
      <c r="A136" s="284"/>
      <c r="B136" s="75" t="s">
        <v>67</v>
      </c>
      <c r="C136" s="66">
        <v>587000</v>
      </c>
      <c r="D136" s="66">
        <v>799183</v>
      </c>
      <c r="E136" s="66">
        <f t="shared" ref="E136:E144" si="23">C136+D136</f>
        <v>1386183</v>
      </c>
      <c r="F136" s="199">
        <v>24.45</v>
      </c>
      <c r="G136" s="66">
        <f t="shared" si="22"/>
        <v>33892174.350000001</v>
      </c>
      <c r="H136" s="57"/>
      <c r="I136" s="74"/>
    </row>
    <row r="137" spans="1:9" x14ac:dyDescent="0.3">
      <c r="A137" s="284"/>
      <c r="B137" s="75" t="s">
        <v>68</v>
      </c>
      <c r="C137" s="66">
        <v>640656</v>
      </c>
      <c r="D137" s="66">
        <v>1883789</v>
      </c>
      <c r="E137" s="66">
        <f t="shared" si="23"/>
        <v>2524445</v>
      </c>
      <c r="F137" s="199">
        <v>25.06</v>
      </c>
      <c r="G137" s="66">
        <f t="shared" si="22"/>
        <v>63262591.699999996</v>
      </c>
      <c r="H137" s="57"/>
      <c r="I137" s="74"/>
    </row>
    <row r="138" spans="1:9" x14ac:dyDescent="0.3">
      <c r="A138" s="284"/>
      <c r="B138" s="75" t="s">
        <v>69</v>
      </c>
      <c r="C138" s="66">
        <v>518542</v>
      </c>
      <c r="D138" s="66">
        <v>1975817</v>
      </c>
      <c r="E138" s="66">
        <f t="shared" si="23"/>
        <v>2494359</v>
      </c>
      <c r="F138" s="199">
        <v>25.33</v>
      </c>
      <c r="G138" s="66">
        <f t="shared" si="22"/>
        <v>63182113.469999999</v>
      </c>
      <c r="H138" s="57"/>
      <c r="I138" s="74"/>
    </row>
    <row r="139" spans="1:9" x14ac:dyDescent="0.3">
      <c r="A139" s="284"/>
      <c r="B139" s="75" t="s">
        <v>70</v>
      </c>
      <c r="C139" s="66">
        <v>417793</v>
      </c>
      <c r="D139" s="66">
        <v>288648</v>
      </c>
      <c r="E139" s="66">
        <f t="shared" si="23"/>
        <v>706441</v>
      </c>
      <c r="F139" s="199">
        <v>26.587499999999999</v>
      </c>
      <c r="G139" s="66">
        <f t="shared" si="22"/>
        <v>18782500.087499999</v>
      </c>
      <c r="H139" s="57"/>
      <c r="I139" s="74"/>
    </row>
    <row r="140" spans="1:9" x14ac:dyDescent="0.3">
      <c r="A140" s="284"/>
      <c r="B140" s="75" t="s">
        <v>71</v>
      </c>
      <c r="C140" s="66">
        <v>505647</v>
      </c>
      <c r="D140" s="66">
        <v>238497</v>
      </c>
      <c r="E140" s="66">
        <f t="shared" si="23"/>
        <v>744144</v>
      </c>
      <c r="F140" s="199">
        <v>26.015699999999999</v>
      </c>
      <c r="G140" s="66">
        <f t="shared" si="22"/>
        <v>19359427.060800001</v>
      </c>
      <c r="H140" s="57"/>
      <c r="I140" s="74"/>
    </row>
    <row r="141" spans="1:9" x14ac:dyDescent="0.3">
      <c r="A141" s="284"/>
      <c r="B141" s="75" t="s">
        <v>72</v>
      </c>
      <c r="C141" s="66">
        <v>3461212</v>
      </c>
      <c r="D141" s="66">
        <v>296006</v>
      </c>
      <c r="E141" s="66">
        <f t="shared" si="23"/>
        <v>3757218</v>
      </c>
      <c r="F141" s="199">
        <v>25.9527</v>
      </c>
      <c r="G141" s="66">
        <f t="shared" si="22"/>
        <v>97509951.588599995</v>
      </c>
      <c r="H141" s="57"/>
      <c r="I141" s="74"/>
    </row>
    <row r="142" spans="1:9" x14ac:dyDescent="0.3">
      <c r="A142" s="284"/>
      <c r="B142" s="75" t="s">
        <v>73</v>
      </c>
      <c r="C142" s="66">
        <v>3300000</v>
      </c>
      <c r="D142" s="66">
        <v>365715</v>
      </c>
      <c r="E142" s="66">
        <f t="shared" si="23"/>
        <v>3665715</v>
      </c>
      <c r="F142" s="199">
        <v>27.253299999999999</v>
      </c>
      <c r="G142" s="66">
        <f t="shared" si="22"/>
        <v>99902830.609499991</v>
      </c>
      <c r="H142" s="57"/>
      <c r="I142" s="74"/>
    </row>
    <row r="143" spans="1:9" x14ac:dyDescent="0.3">
      <c r="A143" s="284"/>
      <c r="B143" s="75" t="s">
        <v>74</v>
      </c>
      <c r="C143" s="66">
        <v>1400000</v>
      </c>
      <c r="D143" s="66">
        <v>335087</v>
      </c>
      <c r="E143" s="66">
        <f t="shared" si="23"/>
        <v>1735087</v>
      </c>
      <c r="F143" s="199">
        <v>26.961400000000001</v>
      </c>
      <c r="G143" s="66">
        <f t="shared" si="22"/>
        <v>46780374.641800001</v>
      </c>
      <c r="H143" s="57"/>
      <c r="I143" s="74"/>
    </row>
    <row r="144" spans="1:9" x14ac:dyDescent="0.3">
      <c r="A144" s="285"/>
      <c r="B144" s="75" t="s">
        <v>75</v>
      </c>
      <c r="C144" s="66">
        <v>275783</v>
      </c>
      <c r="D144" s="66">
        <v>145452</v>
      </c>
      <c r="E144" s="66">
        <f t="shared" si="23"/>
        <v>421235</v>
      </c>
      <c r="F144" s="199">
        <v>25.1219</v>
      </c>
      <c r="G144" s="66">
        <f t="shared" si="22"/>
        <v>10582223.546499999</v>
      </c>
      <c r="H144" s="57"/>
      <c r="I144" s="74"/>
    </row>
    <row r="145" spans="1:9" x14ac:dyDescent="0.3">
      <c r="B145" s="75"/>
      <c r="C145" s="65"/>
      <c r="D145" s="65"/>
      <c r="E145" s="56"/>
      <c r="F145" s="203"/>
      <c r="G145" s="56"/>
      <c r="H145" s="57"/>
      <c r="I145" s="56"/>
    </row>
    <row r="146" spans="1:9" ht="14.5" customHeight="1" x14ac:dyDescent="0.3">
      <c r="A146" s="283" t="s">
        <v>76</v>
      </c>
      <c r="B146" s="75" t="s">
        <v>77</v>
      </c>
      <c r="C146" s="79">
        <v>6594513</v>
      </c>
      <c r="D146" s="79">
        <v>0</v>
      </c>
      <c r="E146" s="66">
        <f>C146+D146</f>
        <v>6594513</v>
      </c>
      <c r="F146" s="199">
        <v>19.559999999999999</v>
      </c>
      <c r="G146" s="66">
        <f>E146*F146</f>
        <v>128988674.27999999</v>
      </c>
      <c r="H146" s="57"/>
      <c r="I146" s="74"/>
    </row>
    <row r="147" spans="1:9" x14ac:dyDescent="0.3">
      <c r="A147" s="284"/>
      <c r="B147" s="75" t="s">
        <v>78</v>
      </c>
      <c r="C147" s="79">
        <v>7210000</v>
      </c>
      <c r="D147" s="66">
        <v>3764445</v>
      </c>
      <c r="E147" s="66">
        <f>C147+D147</f>
        <v>10974445</v>
      </c>
      <c r="F147" s="199">
        <v>19.77</v>
      </c>
      <c r="G147" s="66">
        <f>E147*F147</f>
        <v>216964777.65000001</v>
      </c>
      <c r="H147" s="57"/>
      <c r="I147" s="74"/>
    </row>
    <row r="148" spans="1:9" x14ac:dyDescent="0.3">
      <c r="A148" s="284"/>
      <c r="B148" s="75" t="s">
        <v>79</v>
      </c>
      <c r="C148" s="79">
        <v>3455828</v>
      </c>
      <c r="D148" s="66">
        <v>4115793</v>
      </c>
      <c r="E148" s="66">
        <f>C148+D148</f>
        <v>7571621</v>
      </c>
      <c r="F148" s="199">
        <v>20.28</v>
      </c>
      <c r="G148" s="66">
        <f>E148*F148</f>
        <v>153552473.88</v>
      </c>
      <c r="H148" s="57"/>
      <c r="I148" s="74"/>
    </row>
    <row r="149" spans="1:9" x14ac:dyDescent="0.3">
      <c r="A149" s="285"/>
      <c r="B149" s="75">
        <v>44625</v>
      </c>
      <c r="C149" s="79">
        <v>0</v>
      </c>
      <c r="D149" s="66">
        <v>1972742</v>
      </c>
      <c r="E149" s="66">
        <f>C149+D149</f>
        <v>1972742</v>
      </c>
      <c r="F149" s="199">
        <v>20.28</v>
      </c>
      <c r="G149" s="66">
        <f>E149*F149</f>
        <v>40007207.760000005</v>
      </c>
      <c r="H149" s="57"/>
      <c r="I149" s="74"/>
    </row>
    <row r="150" spans="1:9" x14ac:dyDescent="0.3">
      <c r="B150" s="75"/>
      <c r="C150" s="65"/>
      <c r="D150" s="65"/>
      <c r="E150" s="56"/>
      <c r="F150" s="203"/>
      <c r="G150" s="56"/>
      <c r="H150" s="57"/>
      <c r="I150" s="56"/>
    </row>
    <row r="151" spans="1:9" ht="14.5" customHeight="1" x14ac:dyDescent="0.3">
      <c r="A151" s="283" t="s">
        <v>80</v>
      </c>
      <c r="B151" s="75" t="s">
        <v>81</v>
      </c>
      <c r="C151" s="79">
        <v>7414662</v>
      </c>
      <c r="D151" s="65">
        <v>0</v>
      </c>
      <c r="E151" s="66">
        <v>7414662</v>
      </c>
      <c r="F151" s="199">
        <v>11.44</v>
      </c>
      <c r="G151" s="66">
        <f>E151*F151</f>
        <v>84823733.280000001</v>
      </c>
      <c r="H151" s="57"/>
      <c r="I151" s="74"/>
    </row>
    <row r="152" spans="1:9" x14ac:dyDescent="0.3">
      <c r="A152" s="284"/>
      <c r="B152" s="75" t="s">
        <v>82</v>
      </c>
      <c r="C152" s="79">
        <v>176491</v>
      </c>
      <c r="D152" s="65">
        <v>0</v>
      </c>
      <c r="E152" s="66">
        <v>176491</v>
      </c>
      <c r="F152" s="199">
        <v>11.66</v>
      </c>
      <c r="G152" s="66">
        <f>E152*F152</f>
        <v>2057885.06</v>
      </c>
      <c r="H152" s="57"/>
      <c r="I152" s="74"/>
    </row>
    <row r="153" spans="1:9" x14ac:dyDescent="0.3">
      <c r="A153" s="284"/>
      <c r="B153" s="75" t="s">
        <v>83</v>
      </c>
      <c r="C153" s="79">
        <v>8581177</v>
      </c>
      <c r="D153" s="65">
        <v>0</v>
      </c>
      <c r="E153" s="66">
        <v>8581177</v>
      </c>
      <c r="F153" s="199">
        <v>11.93</v>
      </c>
      <c r="G153" s="66">
        <f>E153*F153</f>
        <v>102373441.61</v>
      </c>
      <c r="H153" s="57"/>
      <c r="I153" s="74"/>
    </row>
    <row r="154" spans="1:9" x14ac:dyDescent="0.3">
      <c r="A154" s="284"/>
      <c r="B154" s="75" t="s">
        <v>84</v>
      </c>
      <c r="C154" s="79">
        <v>9031156</v>
      </c>
      <c r="D154" s="65">
        <v>0</v>
      </c>
      <c r="E154" s="66">
        <v>9031156</v>
      </c>
      <c r="F154" s="199">
        <v>12.34</v>
      </c>
      <c r="G154" s="66">
        <f>E154*F154</f>
        <v>111444465.03999999</v>
      </c>
      <c r="H154" s="57"/>
      <c r="I154" s="74"/>
    </row>
    <row r="155" spans="1:9" x14ac:dyDescent="0.3">
      <c r="A155" s="285"/>
      <c r="B155" s="75" t="s">
        <v>85</v>
      </c>
      <c r="C155" s="79">
        <v>10432767</v>
      </c>
      <c r="D155" s="65">
        <v>0</v>
      </c>
      <c r="E155" s="66">
        <v>10432767</v>
      </c>
      <c r="F155" s="199">
        <v>11.91</v>
      </c>
      <c r="G155" s="66">
        <f>E155*F155</f>
        <v>124254254.97</v>
      </c>
      <c r="H155" s="57"/>
      <c r="I155" s="74"/>
    </row>
    <row r="156" spans="1:9" x14ac:dyDescent="0.3">
      <c r="A156" s="73"/>
      <c r="B156" s="75"/>
      <c r="C156" s="79"/>
      <c r="D156" s="65"/>
      <c r="E156" s="66"/>
      <c r="G156" s="66"/>
      <c r="H156" s="57"/>
      <c r="I156" s="74"/>
    </row>
    <row r="157" spans="1:9" ht="14.5" thickBot="1" x14ac:dyDescent="0.35">
      <c r="A157" s="32" t="s">
        <v>86</v>
      </c>
      <c r="B157" s="75"/>
      <c r="C157" s="80">
        <f>SUM(C4:C155)</f>
        <v>353633309</v>
      </c>
      <c r="D157" s="80">
        <f t="shared" ref="D157:G157" si="24">SUM(D4:D155)</f>
        <v>62631339</v>
      </c>
      <c r="E157" s="80">
        <f t="shared" si="24"/>
        <v>416264648</v>
      </c>
      <c r="G157" s="80">
        <f t="shared" si="24"/>
        <v>10103700381.2124</v>
      </c>
      <c r="H157" s="68">
        <f>G157/E157</f>
        <v>24.272299917268978</v>
      </c>
      <c r="I157" s="81"/>
    </row>
    <row r="158" spans="1:9" x14ac:dyDescent="0.3">
      <c r="B158" s="82" t="s">
        <v>87</v>
      </c>
      <c r="C158" s="83"/>
      <c r="D158" s="83"/>
      <c r="E158" s="66"/>
      <c r="G158" s="66"/>
      <c r="H158" s="74"/>
      <c r="I158" s="74"/>
    </row>
    <row r="159" spans="1:9" x14ac:dyDescent="0.3">
      <c r="B159" s="84" t="s">
        <v>88</v>
      </c>
      <c r="C159" s="83"/>
      <c r="D159" s="83"/>
      <c r="E159" s="66"/>
      <c r="G159" s="66"/>
      <c r="H159" s="74"/>
      <c r="I159" s="74"/>
    </row>
    <row r="160" spans="1:9" x14ac:dyDescent="0.3">
      <c r="B160" s="75"/>
      <c r="C160" s="83"/>
      <c r="D160" s="83"/>
      <c r="E160" s="66"/>
      <c r="G160" s="66"/>
      <c r="H160" s="74"/>
      <c r="I160" s="74"/>
    </row>
    <row r="161" spans="2:9" x14ac:dyDescent="0.3">
      <c r="B161" s="85" t="s">
        <v>89</v>
      </c>
      <c r="G161" s="66"/>
      <c r="H161" s="74"/>
      <c r="I161" s="74"/>
    </row>
    <row r="162" spans="2:9" x14ac:dyDescent="0.3">
      <c r="B162" s="48" t="s">
        <v>90</v>
      </c>
      <c r="C162" s="83"/>
      <c r="D162" s="83"/>
      <c r="E162" s="66"/>
      <c r="G162" s="66"/>
      <c r="H162" s="74"/>
      <c r="I162" s="74"/>
    </row>
    <row r="163" spans="2:9" x14ac:dyDescent="0.3">
      <c r="B163" s="75"/>
      <c r="C163" s="83"/>
      <c r="D163" s="83"/>
      <c r="E163" s="66"/>
      <c r="G163" s="66"/>
      <c r="H163" s="74"/>
      <c r="I163" s="74"/>
    </row>
    <row r="164" spans="2:9" x14ac:dyDescent="0.3">
      <c r="B164" s="75"/>
      <c r="C164" s="83"/>
      <c r="D164" s="83"/>
      <c r="E164" s="66"/>
      <c r="G164" s="66"/>
      <c r="H164" s="74"/>
      <c r="I164" s="74"/>
    </row>
    <row r="165" spans="2:9" x14ac:dyDescent="0.3">
      <c r="B165" s="75"/>
      <c r="C165" s="83"/>
      <c r="D165" s="83"/>
      <c r="E165" s="66"/>
      <c r="G165" s="66"/>
      <c r="H165" s="74"/>
      <c r="I165" s="74"/>
    </row>
    <row r="166" spans="2:9" x14ac:dyDescent="0.3">
      <c r="B166" s="75"/>
      <c r="C166" s="83"/>
      <c r="D166" s="83"/>
      <c r="E166" s="66"/>
      <c r="G166" s="66"/>
      <c r="H166" s="74"/>
      <c r="I166" s="74"/>
    </row>
    <row r="167" spans="2:9" x14ac:dyDescent="0.3">
      <c r="B167" s="75"/>
      <c r="C167" s="83"/>
      <c r="D167" s="83"/>
      <c r="E167" s="66"/>
      <c r="G167" s="66"/>
      <c r="H167" s="74"/>
      <c r="I167" s="74"/>
    </row>
    <row r="168" spans="2:9" x14ac:dyDescent="0.3">
      <c r="B168" s="75"/>
      <c r="C168" s="83"/>
      <c r="D168" s="83"/>
      <c r="E168" s="66"/>
      <c r="G168" s="66"/>
      <c r="H168" s="74"/>
      <c r="I168" s="74"/>
    </row>
    <row r="169" spans="2:9" x14ac:dyDescent="0.3">
      <c r="B169" s="75"/>
      <c r="C169" s="83"/>
      <c r="D169" s="83"/>
      <c r="E169" s="66"/>
      <c r="G169" s="66"/>
      <c r="H169" s="74"/>
      <c r="I169" s="74"/>
    </row>
    <row r="170" spans="2:9" x14ac:dyDescent="0.3">
      <c r="B170" s="75"/>
      <c r="C170" s="83"/>
      <c r="D170" s="83"/>
      <c r="E170" s="66"/>
      <c r="G170" s="66"/>
      <c r="H170" s="74"/>
      <c r="I170" s="74"/>
    </row>
    <row r="171" spans="2:9" x14ac:dyDescent="0.3">
      <c r="B171" s="75"/>
      <c r="C171" s="83"/>
      <c r="D171" s="83"/>
      <c r="E171" s="66"/>
      <c r="G171" s="66"/>
      <c r="H171" s="74"/>
      <c r="I171" s="74"/>
    </row>
    <row r="172" spans="2:9" x14ac:dyDescent="0.3">
      <c r="B172" s="75"/>
      <c r="C172" s="83"/>
      <c r="D172" s="83"/>
      <c r="E172" s="66"/>
      <c r="G172" s="66"/>
      <c r="H172" s="74"/>
      <c r="I172" s="74"/>
    </row>
    <row r="173" spans="2:9" x14ac:dyDescent="0.3">
      <c r="B173" s="75"/>
      <c r="C173" s="83"/>
      <c r="D173" s="83"/>
      <c r="E173" s="66"/>
      <c r="G173" s="66"/>
      <c r="H173" s="74"/>
      <c r="I173" s="74"/>
    </row>
    <row r="174" spans="2:9" x14ac:dyDescent="0.3">
      <c r="B174" s="75"/>
      <c r="C174" s="83"/>
      <c r="D174" s="83"/>
      <c r="E174" s="66"/>
      <c r="G174" s="66"/>
      <c r="H174" s="74"/>
      <c r="I174" s="74"/>
    </row>
    <row r="175" spans="2:9" x14ac:dyDescent="0.3">
      <c r="B175" s="75"/>
      <c r="C175" s="83"/>
      <c r="D175" s="83"/>
      <c r="E175" s="66"/>
      <c r="G175" s="66"/>
      <c r="H175" s="74"/>
      <c r="I175" s="74"/>
    </row>
    <row r="176" spans="2:9" x14ac:dyDescent="0.3">
      <c r="B176" s="75"/>
      <c r="C176" s="83"/>
      <c r="D176" s="83"/>
      <c r="E176" s="66"/>
      <c r="G176" s="66"/>
      <c r="H176" s="74"/>
      <c r="I176" s="74"/>
    </row>
    <row r="177" spans="2:9" x14ac:dyDescent="0.3">
      <c r="B177" s="75"/>
      <c r="C177" s="83"/>
      <c r="D177" s="83"/>
      <c r="E177" s="66"/>
      <c r="G177" s="66"/>
      <c r="H177" s="74"/>
      <c r="I177" s="74"/>
    </row>
    <row r="178" spans="2:9" x14ac:dyDescent="0.3">
      <c r="B178" s="75"/>
      <c r="C178" s="83"/>
      <c r="D178" s="83"/>
      <c r="E178" s="66"/>
      <c r="G178" s="66"/>
      <c r="H178" s="74"/>
      <c r="I178" s="74"/>
    </row>
  </sheetData>
  <mergeCells count="17">
    <mergeCell ref="A60:A63"/>
    <mergeCell ref="A65:A85"/>
    <mergeCell ref="A87:A91"/>
    <mergeCell ref="A93:A104"/>
    <mergeCell ref="A27:A34"/>
    <mergeCell ref="A36:A48"/>
    <mergeCell ref="A151:A155"/>
    <mergeCell ref="A106:A112"/>
    <mergeCell ref="A114:A129"/>
    <mergeCell ref="A131:A133"/>
    <mergeCell ref="A135:A144"/>
    <mergeCell ref="A146:A149"/>
    <mergeCell ref="A50:A54"/>
    <mergeCell ref="A56:A58"/>
    <mergeCell ref="A17:A25"/>
    <mergeCell ref="A5:A9"/>
    <mergeCell ref="A11:A15"/>
  </mergeCells>
  <hyperlinks>
    <hyperlink ref="B162" r:id="rId1" display="https://corporate.arcelormittal.com/investors/equity-investors/share-buyback-program" xr:uid="{FF26027B-9EBB-4EDC-97EA-DC06EE240E99}"/>
  </hyperlinks>
  <pageMargins left="0.25" right="0.25" top="0.75" bottom="0.75" header="0.3" footer="0.3"/>
  <pageSetup paperSize="9" scale="30" orientation="portrait" r:id="rId2"/>
  <ignoredErrors>
    <ignoredError sqref="B106:B113 B157 B89:B96 B98:B104 B87 B131:B155 B78:B85 B73:B76 B65:B71 B61:B63 B56:B57 B53:B54 B50:B51 B36:B39 B41:B43 B45:B48 B31:B34 B27:B30 B19:B25 B17:B18 B11:B15 B6 B9 B7:B8" twoDigitTextYear="1"/>
  </ignoredError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4E3E8-0F78-4A54-9BC4-5D1D828D0D0F}">
  <sheetPr>
    <pageSetUpPr fitToPage="1"/>
  </sheetPr>
  <dimension ref="B1:L68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44" sqref="G44:H44"/>
    </sheetView>
  </sheetViews>
  <sheetFormatPr defaultColWidth="8.81640625" defaultRowHeight="12.5" x14ac:dyDescent="0.25"/>
  <cols>
    <col min="1" max="1" width="1.81640625" style="89" customWidth="1"/>
    <col min="2" max="2" width="53.81640625" style="89" customWidth="1"/>
    <col min="3" max="3" width="21.453125" style="89" bestFit="1" customWidth="1"/>
    <col min="4" max="4" width="17.1796875" style="89" customWidth="1"/>
    <col min="5" max="5" width="15" style="89" customWidth="1"/>
    <col min="6" max="6" width="8.81640625" style="89"/>
    <col min="7" max="7" width="38.54296875" style="89" customWidth="1"/>
    <col min="8" max="8" width="36" style="89" customWidth="1"/>
    <col min="9" max="16384" width="8.81640625" style="89"/>
  </cols>
  <sheetData>
    <row r="1" spans="2:7" ht="1.5" customHeight="1" x14ac:dyDescent="0.25"/>
    <row r="2" spans="2:7" ht="13" x14ac:dyDescent="0.3">
      <c r="B2" s="86" t="s">
        <v>91</v>
      </c>
      <c r="C2" s="87" t="s">
        <v>92</v>
      </c>
      <c r="D2" s="88" t="s">
        <v>93</v>
      </c>
      <c r="E2" s="88" t="s">
        <v>94</v>
      </c>
      <c r="F2" s="87"/>
      <c r="G2" s="87" t="s">
        <v>242</v>
      </c>
    </row>
    <row r="3" spans="2:7" x14ac:dyDescent="0.25">
      <c r="B3" s="89" t="s">
        <v>95</v>
      </c>
      <c r="C3" s="89" t="s">
        <v>96</v>
      </c>
      <c r="D3" s="90">
        <v>-13</v>
      </c>
      <c r="E3" s="90"/>
      <c r="G3" s="89" t="s">
        <v>97</v>
      </c>
    </row>
    <row r="4" spans="2:7" x14ac:dyDescent="0.25">
      <c r="C4" s="89" t="s">
        <v>98</v>
      </c>
      <c r="D4" s="90">
        <v>-487</v>
      </c>
      <c r="E4" s="90">
        <f>+D3+D4</f>
        <v>-500</v>
      </c>
      <c r="G4" s="89" t="s">
        <v>99</v>
      </c>
    </row>
    <row r="5" spans="2:7" x14ac:dyDescent="0.25">
      <c r="D5" s="90"/>
      <c r="E5" s="90"/>
    </row>
    <row r="6" spans="2:7" x14ac:dyDescent="0.25">
      <c r="B6" s="89" t="s">
        <v>76</v>
      </c>
      <c r="C6" s="89" t="s">
        <v>100</v>
      </c>
      <c r="D6" s="90">
        <v>-650</v>
      </c>
      <c r="E6" s="90">
        <f>+D6</f>
        <v>-650</v>
      </c>
      <c r="G6" s="89" t="s">
        <v>101</v>
      </c>
    </row>
    <row r="7" spans="2:7" x14ac:dyDescent="0.25">
      <c r="D7" s="90"/>
      <c r="E7" s="90"/>
    </row>
    <row r="8" spans="2:7" x14ac:dyDescent="0.25">
      <c r="B8" s="89" t="s">
        <v>65</v>
      </c>
      <c r="C8" s="89" t="s">
        <v>102</v>
      </c>
      <c r="D8" s="90">
        <v>-570</v>
      </c>
      <c r="E8" s="90">
        <f>+D8</f>
        <v>-570</v>
      </c>
      <c r="G8" s="89" t="s">
        <v>103</v>
      </c>
    </row>
    <row r="9" spans="2:7" x14ac:dyDescent="0.25">
      <c r="B9" s="89" t="s">
        <v>61</v>
      </c>
      <c r="C9" s="89" t="s">
        <v>102</v>
      </c>
      <c r="D9" s="91">
        <f>-750+323</f>
        <v>-427</v>
      </c>
      <c r="E9" s="90"/>
      <c r="G9" s="89" t="s">
        <v>103</v>
      </c>
    </row>
    <row r="10" spans="2:7" ht="13" x14ac:dyDescent="0.3">
      <c r="C10" s="92" t="s">
        <v>104</v>
      </c>
      <c r="D10" s="93">
        <f>+D8+D9</f>
        <v>-997</v>
      </c>
      <c r="E10" s="90"/>
      <c r="G10" s="89" t="s">
        <v>103</v>
      </c>
    </row>
    <row r="11" spans="2:7" x14ac:dyDescent="0.25">
      <c r="D11" s="90"/>
      <c r="E11" s="90"/>
    </row>
    <row r="12" spans="2:7" x14ac:dyDescent="0.25">
      <c r="B12" s="89" t="s">
        <v>61</v>
      </c>
      <c r="C12" s="89" t="s">
        <v>105</v>
      </c>
      <c r="D12" s="90">
        <f>-750-D9</f>
        <v>-323</v>
      </c>
      <c r="E12" s="90">
        <f>+D9+D12</f>
        <v>-750</v>
      </c>
      <c r="G12" s="89" t="s">
        <v>106</v>
      </c>
    </row>
    <row r="13" spans="2:7" x14ac:dyDescent="0.25">
      <c r="B13" s="89" t="s">
        <v>44</v>
      </c>
      <c r="C13" s="89" t="s">
        <v>105</v>
      </c>
      <c r="D13" s="91">
        <v>-1380</v>
      </c>
      <c r="E13" s="90"/>
      <c r="G13" s="89" t="s">
        <v>106</v>
      </c>
    </row>
    <row r="14" spans="2:7" ht="13" x14ac:dyDescent="0.3">
      <c r="C14" s="92" t="s">
        <v>107</v>
      </c>
      <c r="D14" s="93">
        <f>SUM(D12:D13)</f>
        <v>-1703</v>
      </c>
      <c r="E14" s="90"/>
      <c r="G14" s="89" t="s">
        <v>106</v>
      </c>
    </row>
    <row r="15" spans="2:7" ht="13" x14ac:dyDescent="0.3">
      <c r="C15" s="92"/>
      <c r="D15" s="93"/>
      <c r="E15" s="90"/>
    </row>
    <row r="16" spans="2:7" x14ac:dyDescent="0.25">
      <c r="B16" s="89" t="s">
        <v>44</v>
      </c>
      <c r="C16" s="89" t="s">
        <v>108</v>
      </c>
      <c r="D16" s="90">
        <f>-2200-D13</f>
        <v>-820</v>
      </c>
      <c r="E16" s="90">
        <f>+D13+D16</f>
        <v>-2200</v>
      </c>
    </row>
    <row r="17" spans="2:9" ht="13" x14ac:dyDescent="0.3">
      <c r="B17" s="89" t="s">
        <v>109</v>
      </c>
      <c r="C17" s="89" t="s">
        <v>108</v>
      </c>
      <c r="D17" s="91">
        <v>-1000</v>
      </c>
      <c r="E17" s="90">
        <f>+D17</f>
        <v>-1000</v>
      </c>
      <c r="G17" s="93"/>
    </row>
    <row r="18" spans="2:9" ht="13" x14ac:dyDescent="0.3">
      <c r="C18" s="92" t="s">
        <v>110</v>
      </c>
      <c r="D18" s="93">
        <f>SUM(D16:D17)</f>
        <v>-1820</v>
      </c>
      <c r="E18" s="90"/>
      <c r="G18" s="89" t="s">
        <v>111</v>
      </c>
    </row>
    <row r="19" spans="2:9" ht="13" x14ac:dyDescent="0.3">
      <c r="C19" s="92"/>
      <c r="D19" s="93"/>
      <c r="E19" s="90"/>
      <c r="G19" s="93"/>
    </row>
    <row r="20" spans="2:9" x14ac:dyDescent="0.25">
      <c r="B20" s="89" t="s">
        <v>112</v>
      </c>
      <c r="C20" s="89" t="s">
        <v>113</v>
      </c>
      <c r="D20" s="90">
        <v>-504</v>
      </c>
      <c r="E20" s="90"/>
      <c r="G20" s="89" t="s">
        <v>114</v>
      </c>
    </row>
    <row r="21" spans="2:9" x14ac:dyDescent="0.25">
      <c r="D21" s="90"/>
      <c r="E21" s="90"/>
    </row>
    <row r="22" spans="2:9" x14ac:dyDescent="0.25">
      <c r="B22" s="89" t="s">
        <v>115</v>
      </c>
      <c r="C22" s="89" t="s">
        <v>116</v>
      </c>
      <c r="D22" s="94">
        <f>-1000-D20</f>
        <v>-496</v>
      </c>
      <c r="E22" s="94">
        <f>+D22+D20</f>
        <v>-1000</v>
      </c>
      <c r="G22" s="89" t="s">
        <v>117</v>
      </c>
      <c r="H22" s="95"/>
    </row>
    <row r="23" spans="2:9" x14ac:dyDescent="0.25">
      <c r="B23" s="89" t="s">
        <v>118</v>
      </c>
      <c r="C23" s="89" t="s">
        <v>116</v>
      </c>
      <c r="D23" s="91">
        <v>-1000</v>
      </c>
      <c r="E23" s="94">
        <f>+D23</f>
        <v>-1000</v>
      </c>
      <c r="G23" s="89" t="s">
        <v>117</v>
      </c>
      <c r="H23" s="95"/>
    </row>
    <row r="24" spans="2:9" ht="13" x14ac:dyDescent="0.3">
      <c r="C24" s="92" t="s">
        <v>119</v>
      </c>
      <c r="D24" s="93">
        <f>+D22+D23</f>
        <v>-1496</v>
      </c>
      <c r="E24" s="94"/>
      <c r="G24" s="95"/>
      <c r="H24" s="95"/>
    </row>
    <row r="25" spans="2:9" ht="13" x14ac:dyDescent="0.3">
      <c r="C25" s="92"/>
      <c r="D25" s="117"/>
      <c r="E25" s="118"/>
      <c r="G25" s="95"/>
      <c r="H25" s="95"/>
    </row>
    <row r="26" spans="2:9" ht="12.75" customHeight="1" x14ac:dyDescent="0.25">
      <c r="B26" s="89" t="s">
        <v>199</v>
      </c>
      <c r="C26" s="89" t="s">
        <v>120</v>
      </c>
      <c r="D26" s="94">
        <v>-649</v>
      </c>
      <c r="E26" s="138"/>
      <c r="G26" s="89" t="s">
        <v>198</v>
      </c>
    </row>
    <row r="27" spans="2:9" x14ac:dyDescent="0.25">
      <c r="C27" s="89" t="s">
        <v>197</v>
      </c>
      <c r="D27" s="137">
        <v>-288</v>
      </c>
      <c r="E27" s="138"/>
      <c r="G27" s="89" t="s">
        <v>209</v>
      </c>
    </row>
    <row r="28" spans="2:9" ht="13" x14ac:dyDescent="0.3">
      <c r="C28" s="92" t="s">
        <v>196</v>
      </c>
      <c r="D28" s="93">
        <f>SUM(D26:D27)</f>
        <v>-937</v>
      </c>
      <c r="E28" s="118"/>
    </row>
    <row r="29" spans="2:9" ht="13" x14ac:dyDescent="0.3">
      <c r="C29" s="92"/>
      <c r="D29" s="93"/>
      <c r="E29" s="116"/>
    </row>
    <row r="30" spans="2:9" ht="27.75" customHeight="1" x14ac:dyDescent="0.25">
      <c r="B30" s="165" t="s">
        <v>214</v>
      </c>
      <c r="C30" s="166" t="s">
        <v>215</v>
      </c>
      <c r="D30" s="167">
        <v>-477</v>
      </c>
      <c r="E30" s="168"/>
      <c r="F30" s="169"/>
      <c r="G30" s="287" t="s">
        <v>243</v>
      </c>
      <c r="H30" s="287"/>
      <c r="I30" s="287"/>
    </row>
    <row r="31" spans="2:9" ht="16.5" customHeight="1" x14ac:dyDescent="0.25">
      <c r="B31" s="89" t="s">
        <v>231</v>
      </c>
      <c r="C31" s="170" t="s">
        <v>227</v>
      </c>
      <c r="D31" s="171">
        <v>-78</v>
      </c>
      <c r="E31" s="172">
        <f>D31+D30+D26+D27</f>
        <v>-1492</v>
      </c>
      <c r="F31" s="170"/>
      <c r="G31" s="173" t="s">
        <v>229</v>
      </c>
      <c r="H31" s="170"/>
      <c r="I31" s="170"/>
    </row>
    <row r="32" spans="2:9" x14ac:dyDescent="0.25">
      <c r="B32" s="89" t="s">
        <v>230</v>
      </c>
      <c r="C32" s="89" t="s">
        <v>227</v>
      </c>
      <c r="D32" s="137">
        <v>-149</v>
      </c>
      <c r="E32" s="138"/>
      <c r="G32" s="89" t="s">
        <v>245</v>
      </c>
    </row>
    <row r="33" spans="2:8" ht="18" customHeight="1" x14ac:dyDescent="0.25">
      <c r="C33" s="163" t="s">
        <v>232</v>
      </c>
      <c r="D33" s="180">
        <f>+D31+D32</f>
        <v>-227</v>
      </c>
      <c r="E33" s="118"/>
    </row>
    <row r="34" spans="2:8" x14ac:dyDescent="0.25">
      <c r="B34" s="89" t="s">
        <v>250</v>
      </c>
      <c r="C34" s="89" t="s">
        <v>249</v>
      </c>
      <c r="D34" s="184">
        <v>-38</v>
      </c>
      <c r="G34" s="89" t="s">
        <v>262</v>
      </c>
    </row>
    <row r="35" spans="2:8" x14ac:dyDescent="0.25">
      <c r="B35" s="89" t="s">
        <v>269</v>
      </c>
      <c r="C35" s="89" t="s">
        <v>261</v>
      </c>
      <c r="D35" s="184">
        <v>-466</v>
      </c>
      <c r="E35" s="171"/>
      <c r="G35" s="89" t="s">
        <v>274</v>
      </c>
    </row>
    <row r="36" spans="2:8" ht="13" x14ac:dyDescent="0.3">
      <c r="C36" s="163" t="s">
        <v>259</v>
      </c>
      <c r="D36" s="191">
        <f>SUM(D34:D35)</f>
        <v>-504</v>
      </c>
      <c r="E36" s="171"/>
      <c r="G36" s="183"/>
    </row>
    <row r="37" spans="2:8" ht="13" x14ac:dyDescent="0.3">
      <c r="C37" s="163"/>
      <c r="D37" s="180"/>
      <c r="E37" s="171"/>
      <c r="G37" s="183"/>
    </row>
    <row r="38" spans="2:8" x14ac:dyDescent="0.25">
      <c r="B38" s="170" t="s">
        <v>286</v>
      </c>
      <c r="C38" s="170" t="s">
        <v>275</v>
      </c>
      <c r="D38" s="171">
        <v>-597</v>
      </c>
      <c r="G38" s="210" t="s">
        <v>300</v>
      </c>
    </row>
    <row r="39" spans="2:8" x14ac:dyDescent="0.25">
      <c r="B39" s="170" t="s">
        <v>303</v>
      </c>
      <c r="C39" s="170" t="s">
        <v>296</v>
      </c>
      <c r="D39" s="171">
        <v>-293</v>
      </c>
      <c r="E39" s="126"/>
      <c r="G39" s="210" t="s">
        <v>320</v>
      </c>
    </row>
    <row r="40" spans="2:8" x14ac:dyDescent="0.25">
      <c r="B40" s="89" t="s">
        <v>325</v>
      </c>
      <c r="C40" s="89" t="s">
        <v>319</v>
      </c>
      <c r="D40" s="171">
        <v>-277</v>
      </c>
      <c r="E40" s="126"/>
      <c r="G40" s="242" t="s">
        <v>333</v>
      </c>
    </row>
    <row r="41" spans="2:8" x14ac:dyDescent="0.25">
      <c r="B41" s="89" t="s">
        <v>329</v>
      </c>
      <c r="C41" s="170" t="s">
        <v>338</v>
      </c>
      <c r="D41" s="245">
        <v>-133</v>
      </c>
      <c r="E41" s="137"/>
      <c r="G41" s="242" t="s">
        <v>355</v>
      </c>
    </row>
    <row r="42" spans="2:8" ht="13" x14ac:dyDescent="0.3">
      <c r="C42" s="253" t="s">
        <v>343</v>
      </c>
      <c r="D42" s="141">
        <f>SUM(D38:D41)</f>
        <v>-1300</v>
      </c>
      <c r="E42" s="126"/>
      <c r="G42" s="222"/>
    </row>
    <row r="43" spans="2:8" ht="13" x14ac:dyDescent="0.3">
      <c r="D43" s="141"/>
      <c r="E43" s="126"/>
      <c r="G43" s="222"/>
    </row>
    <row r="44" spans="2:8" s="98" customFormat="1" ht="44.25" customHeight="1" x14ac:dyDescent="0.35">
      <c r="B44" s="98" t="s">
        <v>344</v>
      </c>
      <c r="C44" s="175" t="s">
        <v>345</v>
      </c>
      <c r="D44" s="144">
        <v>-100</v>
      </c>
      <c r="E44" s="234">
        <f>D34+D32+D35+D38+D39+D40+D41+D44</f>
        <v>-2053</v>
      </c>
      <c r="G44" s="290" t="s">
        <v>360</v>
      </c>
      <c r="H44" s="291"/>
    </row>
    <row r="45" spans="2:8" ht="13" x14ac:dyDescent="0.3">
      <c r="C45" s="274" t="s">
        <v>359</v>
      </c>
      <c r="D45" s="254">
        <f>+D3+D4+D6+D8+D9+D12+D13+D16+D17+D20+D22+D23+D26+D27+D30+D32+D31+D34+D35+D38+D39+D40+D41+D44</f>
        <v>-11215</v>
      </c>
      <c r="E45" s="254">
        <f>SUM(E3:E44)</f>
        <v>-11215</v>
      </c>
    </row>
    <row r="46" spans="2:8" ht="13" x14ac:dyDescent="0.3">
      <c r="C46" s="96"/>
      <c r="D46" s="93"/>
      <c r="E46" s="93"/>
    </row>
    <row r="48" spans="2:8" s="98" customFormat="1" x14ac:dyDescent="0.35">
      <c r="B48" s="286" t="s">
        <v>121</v>
      </c>
      <c r="C48" s="286"/>
      <c r="D48" s="97">
        <v>-1196</v>
      </c>
      <c r="E48" s="97"/>
      <c r="G48" s="98" t="s">
        <v>123</v>
      </c>
    </row>
    <row r="49" spans="2:12" s="98" customFormat="1" ht="5.25" customHeight="1" x14ac:dyDescent="0.35">
      <c r="D49" s="97"/>
      <c r="E49" s="97"/>
    </row>
    <row r="50" spans="2:12" s="98" customFormat="1" x14ac:dyDescent="0.35">
      <c r="B50" s="98" t="s">
        <v>122</v>
      </c>
      <c r="D50" s="174">
        <f>-284-28</f>
        <v>-312</v>
      </c>
      <c r="E50" s="174"/>
      <c r="F50" s="175"/>
      <c r="G50" s="175" t="s">
        <v>123</v>
      </c>
    </row>
    <row r="51" spans="2:12" s="98" customFormat="1" x14ac:dyDescent="0.25">
      <c r="B51" s="98" t="s">
        <v>233</v>
      </c>
      <c r="D51" s="174">
        <v>-332</v>
      </c>
      <c r="E51" s="174"/>
      <c r="F51" s="175"/>
      <c r="G51" s="175" t="s">
        <v>221</v>
      </c>
      <c r="H51" s="95"/>
    </row>
    <row r="52" spans="2:12" s="98" customFormat="1" ht="17.5" customHeight="1" x14ac:dyDescent="0.35">
      <c r="B52" s="98" t="s">
        <v>287</v>
      </c>
      <c r="D52" s="174">
        <v>-185</v>
      </c>
      <c r="E52" s="174"/>
      <c r="F52" s="175"/>
      <c r="G52" s="288" t="s">
        <v>289</v>
      </c>
      <c r="H52" s="288"/>
      <c r="I52" s="288"/>
      <c r="J52" s="288"/>
      <c r="K52" s="288"/>
      <c r="L52" s="288"/>
    </row>
    <row r="53" spans="2:12" s="98" customFormat="1" ht="24" customHeight="1" x14ac:dyDescent="0.35">
      <c r="B53" s="98" t="s">
        <v>288</v>
      </c>
      <c r="D53" s="198">
        <v>-184</v>
      </c>
      <c r="E53" s="97"/>
      <c r="G53" s="288"/>
      <c r="H53" s="288"/>
      <c r="I53" s="288"/>
      <c r="J53" s="288"/>
      <c r="K53" s="288"/>
      <c r="L53" s="288"/>
    </row>
    <row r="54" spans="2:12" s="98" customFormat="1" ht="12.75" customHeight="1" x14ac:dyDescent="0.35">
      <c r="B54" s="98" t="s">
        <v>308</v>
      </c>
      <c r="D54" s="230">
        <v>-200</v>
      </c>
      <c r="E54" s="226"/>
      <c r="G54" s="289" t="s">
        <v>309</v>
      </c>
      <c r="H54" s="289"/>
      <c r="I54" s="289"/>
      <c r="J54" s="289"/>
      <c r="K54" s="289"/>
      <c r="L54" s="224"/>
    </row>
    <row r="55" spans="2:12" s="98" customFormat="1" ht="13.5" thickBot="1" x14ac:dyDescent="0.35">
      <c r="B55" s="98" t="s">
        <v>330</v>
      </c>
      <c r="D55" s="198">
        <v>-193</v>
      </c>
      <c r="E55" s="222"/>
      <c r="G55" s="289"/>
      <c r="H55" s="289"/>
      <c r="I55" s="289"/>
      <c r="J55" s="289"/>
      <c r="K55" s="289"/>
      <c r="L55" s="224"/>
    </row>
    <row r="56" spans="2:12" s="98" customFormat="1" ht="13.5" thickTop="1" x14ac:dyDescent="0.3">
      <c r="B56" s="92" t="s">
        <v>216</v>
      </c>
      <c r="C56" s="89"/>
      <c r="D56" s="196" t="s">
        <v>358</v>
      </c>
      <c r="E56" s="97"/>
      <c r="G56" s="224"/>
      <c r="H56" s="224"/>
      <c r="I56" s="224"/>
      <c r="J56" s="224"/>
      <c r="K56" s="224"/>
      <c r="L56" s="224"/>
    </row>
    <row r="57" spans="2:12" s="98" customFormat="1" x14ac:dyDescent="0.35">
      <c r="D57" s="97"/>
      <c r="E57" s="97"/>
      <c r="G57" s="224"/>
      <c r="H57" s="224"/>
    </row>
    <row r="58" spans="2:12" s="98" customFormat="1" ht="14" x14ac:dyDescent="0.3">
      <c r="B58" s="84"/>
      <c r="C58" s="89"/>
      <c r="D58" s="89"/>
      <c r="E58" s="89"/>
      <c r="F58" s="89"/>
      <c r="G58" s="89"/>
      <c r="H58" s="224"/>
    </row>
    <row r="59" spans="2:12" s="98" customFormat="1" x14ac:dyDescent="0.25">
      <c r="C59" s="89"/>
      <c r="D59" s="89"/>
      <c r="E59" s="89"/>
      <c r="F59" s="89"/>
      <c r="G59" s="89"/>
      <c r="H59" s="224"/>
    </row>
    <row r="60" spans="2:12" s="98" customFormat="1" x14ac:dyDescent="0.25">
      <c r="C60" s="89"/>
      <c r="D60" s="89"/>
      <c r="E60" s="89"/>
      <c r="F60" s="89"/>
      <c r="G60" s="89"/>
    </row>
    <row r="66" spans="4:5" ht="13" x14ac:dyDescent="0.3">
      <c r="D66" s="96"/>
      <c r="E66" s="250"/>
    </row>
    <row r="67" spans="4:5" x14ac:dyDescent="0.25">
      <c r="D67" s="95"/>
      <c r="E67" s="249"/>
    </row>
    <row r="68" spans="4:5" x14ac:dyDescent="0.25">
      <c r="D68" s="95"/>
      <c r="E68" s="249"/>
    </row>
  </sheetData>
  <mergeCells count="5">
    <mergeCell ref="B48:C48"/>
    <mergeCell ref="G30:I30"/>
    <mergeCell ref="G52:L53"/>
    <mergeCell ref="G54:K55"/>
    <mergeCell ref="G44:H44"/>
  </mergeCells>
  <phoneticPr fontId="21" type="noConversion"/>
  <pageMargins left="0.7" right="0.7" top="0.75" bottom="0.75" header="0.3" footer="0.3"/>
  <pageSetup paperSize="9" scale="5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742EA-00B4-4D57-B88C-E9606696882A}">
  <sheetPr>
    <pageSetUpPr fitToPage="1"/>
  </sheetPr>
  <dimension ref="B1:J77"/>
  <sheetViews>
    <sheetView showGridLines="0" zoomScaleNormal="100" zoomScaleSheetLayoutView="85" workbookViewId="0">
      <pane xSplit="2" ySplit="1" topLeftCell="C23" activePane="bottomRight" state="frozen"/>
      <selection activeCell="W5" sqref="W5"/>
      <selection pane="topRight" activeCell="W5" sqref="W5"/>
      <selection pane="bottomLeft" activeCell="W5" sqref="W5"/>
      <selection pane="bottomRight" activeCell="D78" sqref="D78"/>
    </sheetView>
  </sheetViews>
  <sheetFormatPr defaultColWidth="9.1796875" defaultRowHeight="14" outlineLevelRow="1" x14ac:dyDescent="0.3"/>
  <cols>
    <col min="1" max="1" width="6" style="32" bestFit="1" customWidth="1"/>
    <col min="2" max="2" width="63.54296875" style="32" customWidth="1"/>
    <col min="3" max="4" width="19.1796875" style="32" customWidth="1"/>
    <col min="5" max="5" width="21.81640625" style="32" customWidth="1"/>
    <col min="6" max="6" width="13.81640625" style="32" customWidth="1"/>
    <col min="7" max="7" width="14.54296875" style="32" customWidth="1"/>
    <col min="8" max="8" width="10.453125" style="32" customWidth="1"/>
    <col min="9" max="9" width="9.54296875" style="32" bestFit="1" customWidth="1"/>
    <col min="10" max="11" width="9.1796875" style="32"/>
    <col min="12" max="12" width="39.81640625" style="32" bestFit="1" customWidth="1"/>
    <col min="13" max="13" width="10.54296875" style="32" bestFit="1" customWidth="1"/>
    <col min="14" max="14" width="9.1796875" style="32" customWidth="1"/>
    <col min="15" max="15" width="1.54296875" style="32" customWidth="1"/>
    <col min="16" max="16" width="10.54296875" style="32" bestFit="1" customWidth="1"/>
    <col min="17" max="16384" width="9.1796875" style="32"/>
  </cols>
  <sheetData>
    <row r="1" spans="2:8" ht="28" x14ac:dyDescent="0.3">
      <c r="B1" s="30" t="s">
        <v>124</v>
      </c>
      <c r="C1" s="31" t="s">
        <v>125</v>
      </c>
      <c r="D1" s="31" t="s">
        <v>126</v>
      </c>
      <c r="E1" s="31" t="s">
        <v>127</v>
      </c>
    </row>
    <row r="2" spans="2:8" hidden="1" outlineLevel="1" x14ac:dyDescent="0.3">
      <c r="B2" s="33" t="s">
        <v>128</v>
      </c>
      <c r="C2" s="34">
        <v>1021903623</v>
      </c>
      <c r="D2" s="34">
        <v>-9824202</v>
      </c>
      <c r="E2" s="34">
        <f>+C2+D2</f>
        <v>1012079421</v>
      </c>
      <c r="F2" s="35"/>
    </row>
    <row r="3" spans="2:8" hidden="1" outlineLevel="1" x14ac:dyDescent="0.3">
      <c r="B3" s="32" t="s">
        <v>129</v>
      </c>
      <c r="C3" s="36">
        <v>0</v>
      </c>
      <c r="D3" s="36">
        <v>106346</v>
      </c>
      <c r="E3" s="36">
        <f t="shared" ref="E3:E20" si="0">+C3+D3</f>
        <v>106346</v>
      </c>
      <c r="F3" s="35"/>
    </row>
    <row r="4" spans="2:8" hidden="1" outlineLevel="1" x14ac:dyDescent="0.3">
      <c r="B4" s="33" t="s">
        <v>130</v>
      </c>
      <c r="C4" s="34">
        <f>SUM(C2:C3)</f>
        <v>1021903623</v>
      </c>
      <c r="D4" s="34">
        <f>SUM(D2:D3)</f>
        <v>-9717856</v>
      </c>
      <c r="E4" s="34">
        <f t="shared" ref="E4:E6" si="1">+C4+D4</f>
        <v>1012185767</v>
      </c>
      <c r="F4" s="35"/>
    </row>
    <row r="5" spans="2:8" hidden="1" outlineLevel="1" x14ac:dyDescent="0.3">
      <c r="B5" s="32" t="s">
        <v>131</v>
      </c>
      <c r="C5" s="37">
        <v>80906149</v>
      </c>
      <c r="D5" s="37">
        <v>0</v>
      </c>
      <c r="E5" s="37">
        <f t="shared" si="1"/>
        <v>80906149</v>
      </c>
      <c r="F5" s="35"/>
    </row>
    <row r="6" spans="2:8" hidden="1" outlineLevel="1" x14ac:dyDescent="0.3">
      <c r="B6" s="32" t="s">
        <v>129</v>
      </c>
      <c r="C6" s="38"/>
      <c r="D6" s="36">
        <v>3399</v>
      </c>
      <c r="E6" s="36">
        <f t="shared" si="1"/>
        <v>3399</v>
      </c>
      <c r="F6" s="35"/>
    </row>
    <row r="7" spans="2:8" hidden="1" outlineLevel="1" x14ac:dyDescent="0.3">
      <c r="B7" s="33" t="s">
        <v>132</v>
      </c>
      <c r="C7" s="34">
        <v>1102809772</v>
      </c>
      <c r="D7" s="34">
        <v>-9714457</v>
      </c>
      <c r="E7" s="34">
        <f t="shared" ref="E7:E9" si="2">+C7+D7</f>
        <v>1093095315</v>
      </c>
      <c r="F7" s="35"/>
      <c r="G7" s="49">
        <f>+E70+E67+E64+E61+E58+E55+E50+E47+E44+E41+E37+E36+E33+E29+E28+E23+E22+E19+E18+E15+E11+E8</f>
        <v>-410280648</v>
      </c>
      <c r="H7" s="248">
        <f>+G7/E7</f>
        <v>-0.37533840129943291</v>
      </c>
    </row>
    <row r="8" spans="2:8" hidden="1" outlineLevel="1" x14ac:dyDescent="0.3">
      <c r="B8" s="32" t="s">
        <v>133</v>
      </c>
      <c r="C8" s="35">
        <v>0</v>
      </c>
      <c r="D8" s="35">
        <v>-4559734</v>
      </c>
      <c r="E8" s="37">
        <f t="shared" si="2"/>
        <v>-4559734</v>
      </c>
      <c r="F8" s="35"/>
    </row>
    <row r="9" spans="2:8" hidden="1" outlineLevel="1" x14ac:dyDescent="0.3">
      <c r="B9" s="32" t="s">
        <v>129</v>
      </c>
      <c r="C9" s="38"/>
      <c r="D9" s="38">
        <v>22855</v>
      </c>
      <c r="E9" s="36">
        <f t="shared" si="2"/>
        <v>22855</v>
      </c>
      <c r="F9" s="35"/>
    </row>
    <row r="10" spans="2:8" hidden="1" outlineLevel="1" x14ac:dyDescent="0.3">
      <c r="B10" s="33" t="s">
        <v>134</v>
      </c>
      <c r="C10" s="34">
        <v>1102809772</v>
      </c>
      <c r="D10" s="34">
        <v>-14251336</v>
      </c>
      <c r="E10" s="34">
        <f t="shared" ref="E10" si="3">+C10+D10</f>
        <v>1088558436</v>
      </c>
      <c r="F10" s="35"/>
    </row>
    <row r="11" spans="2:8" hidden="1" outlineLevel="1" x14ac:dyDescent="0.3">
      <c r="B11" s="32" t="s">
        <v>135</v>
      </c>
      <c r="C11" s="35">
        <v>0</v>
      </c>
      <c r="D11" s="35">
        <f>-35636253-D8</f>
        <v>-31076519</v>
      </c>
      <c r="E11" s="37">
        <f t="shared" si="0"/>
        <v>-31076519</v>
      </c>
      <c r="F11" s="35"/>
    </row>
    <row r="12" spans="2:8" hidden="1" outlineLevel="1" x14ac:dyDescent="0.3">
      <c r="B12" s="32" t="s">
        <v>136</v>
      </c>
      <c r="C12" s="35">
        <v>0</v>
      </c>
      <c r="D12" s="35">
        <v>22653933</v>
      </c>
      <c r="E12" s="37">
        <f t="shared" si="0"/>
        <v>22653933</v>
      </c>
      <c r="F12" s="35"/>
    </row>
    <row r="13" spans="2:8" hidden="1" outlineLevel="1" x14ac:dyDescent="0.3">
      <c r="B13" s="32" t="s">
        <v>129</v>
      </c>
      <c r="C13" s="38"/>
      <c r="D13" s="38">
        <v>598563</v>
      </c>
      <c r="E13" s="36">
        <f t="shared" si="0"/>
        <v>598563</v>
      </c>
      <c r="F13" s="35"/>
    </row>
    <row r="14" spans="2:8" collapsed="1" x14ac:dyDescent="0.3">
      <c r="B14" s="33" t="s">
        <v>137</v>
      </c>
      <c r="C14" s="34">
        <v>1102809772</v>
      </c>
      <c r="D14" s="34">
        <v>-22075359</v>
      </c>
      <c r="E14" s="34">
        <f t="shared" si="0"/>
        <v>1080734413</v>
      </c>
      <c r="F14" s="35"/>
    </row>
    <row r="15" spans="2:8" x14ac:dyDescent="0.3">
      <c r="B15" s="32" t="s">
        <v>76</v>
      </c>
      <c r="C15" s="35"/>
      <c r="D15" s="35">
        <v>-27113321</v>
      </c>
      <c r="E15" s="37">
        <f t="shared" si="0"/>
        <v>-27113321</v>
      </c>
      <c r="F15" s="35"/>
    </row>
    <row r="16" spans="2:8" x14ac:dyDescent="0.3">
      <c r="B16" s="32" t="s">
        <v>129</v>
      </c>
      <c r="C16" s="38">
        <v>0</v>
      </c>
      <c r="D16" s="38">
        <v>138323</v>
      </c>
      <c r="E16" s="36">
        <f>+C16+D16</f>
        <v>138323</v>
      </c>
      <c r="F16" s="35"/>
    </row>
    <row r="17" spans="2:6" x14ac:dyDescent="0.3">
      <c r="B17" s="33" t="s">
        <v>138</v>
      </c>
      <c r="C17" s="34">
        <v>1102809772</v>
      </c>
      <c r="D17" s="34">
        <v>-49050357</v>
      </c>
      <c r="E17" s="34">
        <f t="shared" si="0"/>
        <v>1053759415</v>
      </c>
      <c r="F17" s="35"/>
    </row>
    <row r="18" spans="2:6" x14ac:dyDescent="0.3">
      <c r="B18" s="32" t="s">
        <v>139</v>
      </c>
      <c r="C18" s="35"/>
      <c r="D18" s="39">
        <v>-17847057</v>
      </c>
      <c r="E18" s="37">
        <f>+C18+D18</f>
        <v>-17847057</v>
      </c>
      <c r="F18" s="35"/>
    </row>
    <row r="19" spans="2:6" x14ac:dyDescent="0.3">
      <c r="B19" s="32" t="s">
        <v>140</v>
      </c>
      <c r="D19" s="40">
        <v>-17253100</v>
      </c>
      <c r="E19" s="37">
        <f>+C19+D19</f>
        <v>-17253100</v>
      </c>
    </row>
    <row r="20" spans="2:6" x14ac:dyDescent="0.3">
      <c r="B20" s="32" t="s">
        <v>129</v>
      </c>
      <c r="C20" s="38"/>
      <c r="D20" s="41">
        <v>546856</v>
      </c>
      <c r="E20" s="36">
        <f t="shared" si="0"/>
        <v>546856</v>
      </c>
      <c r="F20" s="35"/>
    </row>
    <row r="21" spans="2:6" x14ac:dyDescent="0.3">
      <c r="B21" s="33" t="s">
        <v>141</v>
      </c>
      <c r="C21" s="34">
        <v>1102809772</v>
      </c>
      <c r="D21" s="34">
        <v>-83603658</v>
      </c>
      <c r="E21" s="34">
        <f t="shared" ref="E21:E26" si="4">+C21+D21</f>
        <v>1019206114</v>
      </c>
      <c r="F21" s="35"/>
    </row>
    <row r="22" spans="2:6" x14ac:dyDescent="0.3">
      <c r="B22" s="42" t="s">
        <v>142</v>
      </c>
      <c r="C22" s="37"/>
      <c r="D22" s="37">
        <v>-7205424</v>
      </c>
      <c r="E22" s="37">
        <f>+C22+D22</f>
        <v>-7205424</v>
      </c>
      <c r="F22" s="35"/>
    </row>
    <row r="23" spans="2:6" x14ac:dyDescent="0.3">
      <c r="B23" s="42" t="s">
        <v>143</v>
      </c>
      <c r="C23" s="37"/>
      <c r="D23" s="37">
        <v>-42299224</v>
      </c>
      <c r="E23" s="37">
        <f>+C23+D23</f>
        <v>-42299224</v>
      </c>
      <c r="F23" s="35"/>
    </row>
    <row r="24" spans="2:6" x14ac:dyDescent="0.3">
      <c r="B24" s="43" t="s">
        <v>144</v>
      </c>
      <c r="C24" s="37">
        <v>-70000000</v>
      </c>
      <c r="D24" s="37">
        <f>-C24</f>
        <v>70000000</v>
      </c>
      <c r="E24" s="37">
        <f>+C24+D24</f>
        <v>0</v>
      </c>
      <c r="F24" s="35"/>
    </row>
    <row r="25" spans="2:6" x14ac:dyDescent="0.3">
      <c r="B25" s="43" t="s">
        <v>145</v>
      </c>
      <c r="C25" s="37">
        <v>-50000000</v>
      </c>
      <c r="D25" s="37">
        <f>-C25</f>
        <v>50000000</v>
      </c>
      <c r="E25" s="37">
        <f>+C25+D25</f>
        <v>0</v>
      </c>
      <c r="F25" s="35"/>
    </row>
    <row r="26" spans="2:6" x14ac:dyDescent="0.3">
      <c r="B26" s="32" t="s">
        <v>129</v>
      </c>
      <c r="C26" s="36"/>
      <c r="D26" s="36">
        <v>96534</v>
      </c>
      <c r="E26" s="36">
        <f t="shared" si="4"/>
        <v>96534</v>
      </c>
      <c r="F26" s="35"/>
    </row>
    <row r="27" spans="2:6" x14ac:dyDescent="0.3">
      <c r="B27" s="33" t="s">
        <v>146</v>
      </c>
      <c r="C27" s="34">
        <v>982809772</v>
      </c>
      <c r="D27" s="34">
        <f>-12211712-800060</f>
        <v>-13011772</v>
      </c>
      <c r="E27" s="34">
        <f t="shared" ref="E27:E34" si="5">+C27+D27</f>
        <v>969798000</v>
      </c>
      <c r="F27" s="35"/>
    </row>
    <row r="28" spans="2:6" x14ac:dyDescent="0.3">
      <c r="B28" s="32" t="s">
        <v>147</v>
      </c>
      <c r="C28" s="37"/>
      <c r="D28" s="37">
        <f>-67404066-D23</f>
        <v>-25104842</v>
      </c>
      <c r="E28" s="37">
        <f>+C28+D28</f>
        <v>-25104842</v>
      </c>
      <c r="F28" s="35"/>
    </row>
    <row r="29" spans="2:6" x14ac:dyDescent="0.3">
      <c r="B29" s="32" t="s">
        <v>109</v>
      </c>
      <c r="C29" s="37"/>
      <c r="D29" s="37">
        <v>-34080049</v>
      </c>
      <c r="E29" s="37">
        <f>+C29+D29</f>
        <v>-34080049</v>
      </c>
      <c r="F29" s="35"/>
    </row>
    <row r="30" spans="2:6" x14ac:dyDescent="0.3">
      <c r="B30" s="32" t="s">
        <v>129</v>
      </c>
      <c r="C30" s="36"/>
      <c r="D30" s="36">
        <f>280033-1196-6422+7678</f>
        <v>280093</v>
      </c>
      <c r="E30" s="36">
        <f t="shared" si="5"/>
        <v>280093</v>
      </c>
      <c r="F30" s="35"/>
    </row>
    <row r="31" spans="2:6" x14ac:dyDescent="0.3">
      <c r="B31" s="33" t="s">
        <v>148</v>
      </c>
      <c r="C31" s="34">
        <v>982809772</v>
      </c>
      <c r="D31" s="34">
        <f>-71116570-800000</f>
        <v>-71916570</v>
      </c>
      <c r="E31" s="34">
        <f t="shared" si="5"/>
        <v>910893202</v>
      </c>
      <c r="F31" s="44"/>
    </row>
    <row r="32" spans="2:6" x14ac:dyDescent="0.3">
      <c r="B32" s="45" t="s">
        <v>149</v>
      </c>
      <c r="C32" s="35">
        <v>-45000000</v>
      </c>
      <c r="D32" s="35">
        <v>45000000</v>
      </c>
      <c r="E32" s="35">
        <f t="shared" si="5"/>
        <v>0</v>
      </c>
      <c r="F32" s="44"/>
    </row>
    <row r="33" spans="2:6" x14ac:dyDescent="0.3">
      <c r="B33" s="32" t="s">
        <v>150</v>
      </c>
      <c r="C33" s="35"/>
      <c r="D33" s="35">
        <v>-18265796</v>
      </c>
      <c r="E33" s="35">
        <f t="shared" si="5"/>
        <v>-18265796</v>
      </c>
      <c r="F33" s="44"/>
    </row>
    <row r="34" spans="2:6" x14ac:dyDescent="0.3">
      <c r="B34" s="32" t="s">
        <v>129</v>
      </c>
      <c r="C34" s="38"/>
      <c r="D34" s="38">
        <v>518234</v>
      </c>
      <c r="E34" s="38">
        <f t="shared" si="5"/>
        <v>518234</v>
      </c>
      <c r="F34" s="44"/>
    </row>
    <row r="35" spans="2:6" x14ac:dyDescent="0.3">
      <c r="B35" s="33" t="s">
        <v>151</v>
      </c>
      <c r="C35" s="34">
        <f>+SUM(C31:C34)</f>
        <v>937809772</v>
      </c>
      <c r="D35" s="34">
        <f t="shared" ref="D35:E35" si="6">+SUM(D31:D34)</f>
        <v>-44664132</v>
      </c>
      <c r="E35" s="34">
        <f t="shared" si="6"/>
        <v>893145640</v>
      </c>
    </row>
    <row r="36" spans="2:6" x14ac:dyDescent="0.3">
      <c r="B36" s="32" t="s">
        <v>152</v>
      </c>
      <c r="C36" s="35"/>
      <c r="D36" s="37">
        <f>-31751960-D33</f>
        <v>-13486164</v>
      </c>
      <c r="E36" s="37">
        <f t="shared" ref="E36:E42" si="7">+C36+D36</f>
        <v>-13486164</v>
      </c>
    </row>
    <row r="37" spans="2:6" x14ac:dyDescent="0.3">
      <c r="B37" s="32" t="s">
        <v>153</v>
      </c>
      <c r="C37" s="35"/>
      <c r="D37" s="37">
        <v>-33349597</v>
      </c>
      <c r="E37" s="37">
        <f t="shared" si="7"/>
        <v>-33349597</v>
      </c>
      <c r="F37" s="46"/>
    </row>
    <row r="38" spans="2:6" x14ac:dyDescent="0.3">
      <c r="B38" s="45" t="s">
        <v>154</v>
      </c>
      <c r="C38" s="35">
        <v>-60000000</v>
      </c>
      <c r="D38" s="35">
        <f>-C38</f>
        <v>60000000</v>
      </c>
      <c r="E38" s="35">
        <f t="shared" si="7"/>
        <v>0</v>
      </c>
      <c r="F38" s="46"/>
    </row>
    <row r="39" spans="2:6" x14ac:dyDescent="0.3">
      <c r="B39" s="32" t="s">
        <v>129</v>
      </c>
      <c r="C39" s="38"/>
      <c r="D39" s="47">
        <f>296421+16149</f>
        <v>312570</v>
      </c>
      <c r="E39" s="36">
        <f t="shared" si="7"/>
        <v>312570</v>
      </c>
      <c r="F39" s="46"/>
    </row>
    <row r="40" spans="2:6" x14ac:dyDescent="0.3">
      <c r="B40" s="33" t="s">
        <v>155</v>
      </c>
      <c r="C40" s="34">
        <f>SUM(C35:C39)</f>
        <v>877809772</v>
      </c>
      <c r="D40" s="34">
        <f>SUM(D35:D39)</f>
        <v>-31187323</v>
      </c>
      <c r="E40" s="34">
        <f>SUM(E35:E39)</f>
        <v>846622449</v>
      </c>
    </row>
    <row r="41" spans="2:6" x14ac:dyDescent="0.3">
      <c r="B41" s="32" t="s">
        <v>218</v>
      </c>
      <c r="C41" s="72"/>
      <c r="D41" s="120">
        <f>-SUM('Share buyback program SBB '!E77:E85)</f>
        <v>-31049893</v>
      </c>
      <c r="E41" s="120">
        <f>+C41+D41</f>
        <v>-31049893</v>
      </c>
      <c r="F41" s="50"/>
    </row>
    <row r="42" spans="2:6" x14ac:dyDescent="0.3">
      <c r="B42" s="32" t="s">
        <v>129</v>
      </c>
      <c r="C42" s="119"/>
      <c r="D42" s="121">
        <v>21426</v>
      </c>
      <c r="E42" s="121">
        <f t="shared" si="7"/>
        <v>21426</v>
      </c>
    </row>
    <row r="43" spans="2:6" x14ac:dyDescent="0.3">
      <c r="B43" s="33" t="s">
        <v>200</v>
      </c>
      <c r="C43" s="34">
        <f>SUM(C40:C42)</f>
        <v>877809772</v>
      </c>
      <c r="D43" s="34">
        <f>SUM(D40:D42)</f>
        <v>-62215790</v>
      </c>
      <c r="E43" s="34">
        <f>SUM(E40:E42)</f>
        <v>815593982</v>
      </c>
    </row>
    <row r="44" spans="2:6" x14ac:dyDescent="0.3">
      <c r="B44" s="32" t="s">
        <v>219</v>
      </c>
      <c r="C44" s="72"/>
      <c r="D44" s="120">
        <f>-SUM('Share buyback program SBB '!E72:E85)-D41</f>
        <v>-10276546</v>
      </c>
      <c r="E44" s="120">
        <f>+C44+D44</f>
        <v>-10276546</v>
      </c>
      <c r="F44" s="50"/>
    </row>
    <row r="45" spans="2:6" x14ac:dyDescent="0.3">
      <c r="B45" s="32" t="s">
        <v>129</v>
      </c>
      <c r="C45" s="119"/>
      <c r="D45" s="134">
        <v>20493</v>
      </c>
      <c r="E45" s="121">
        <f t="shared" ref="E45" si="8">+C45+D45</f>
        <v>20493</v>
      </c>
      <c r="F45" s="50"/>
    </row>
    <row r="46" spans="2:6" x14ac:dyDescent="0.3">
      <c r="B46" s="33" t="s">
        <v>217</v>
      </c>
      <c r="C46" s="34">
        <f>SUM(C43:C45)</f>
        <v>877809772</v>
      </c>
      <c r="D46" s="34">
        <f>SUM(D43:D45)</f>
        <v>-72471843</v>
      </c>
      <c r="E46" s="34">
        <f>SUM(E43:E45)</f>
        <v>805337929</v>
      </c>
    </row>
    <row r="47" spans="2:6" x14ac:dyDescent="0.3">
      <c r="B47" s="32" t="s">
        <v>220</v>
      </c>
      <c r="C47" s="72"/>
      <c r="D47" s="120">
        <f>-SUM('Share buyback program SBB '!C65:C71)</f>
        <v>-19104941</v>
      </c>
      <c r="E47" s="120">
        <f>D47+C47</f>
        <v>-19104941</v>
      </c>
      <c r="F47" s="48"/>
    </row>
    <row r="48" spans="2:6" x14ac:dyDescent="0.3">
      <c r="B48" s="32" t="s">
        <v>129</v>
      </c>
      <c r="C48" s="119"/>
      <c r="D48" s="134">
        <v>720007</v>
      </c>
      <c r="E48" s="134">
        <f>D48+C48</f>
        <v>720007</v>
      </c>
      <c r="F48" s="48"/>
    </row>
    <row r="49" spans="2:10" x14ac:dyDescent="0.3">
      <c r="B49" s="220" t="s">
        <v>234</v>
      </c>
      <c r="C49" s="34">
        <f>SUM(C46:C48)</f>
        <v>877809772</v>
      </c>
      <c r="D49" s="34">
        <f>SUM(D46:D48)</f>
        <v>-90856777</v>
      </c>
      <c r="E49" s="34">
        <f>SUM(E46:E48)</f>
        <v>786952995</v>
      </c>
    </row>
    <row r="50" spans="2:10" x14ac:dyDescent="0.3">
      <c r="B50" s="152" t="s">
        <v>236</v>
      </c>
      <c r="C50" s="151"/>
      <c r="D50" s="155">
        <f>-SUM('Share buyback program SBB '!C60:C63)</f>
        <v>-5687909</v>
      </c>
      <c r="E50" s="120">
        <f t="shared" ref="E50:E55" si="9">D50+C50</f>
        <v>-5687909</v>
      </c>
      <c r="F50" s="48"/>
    </row>
    <row r="51" spans="2:10" x14ac:dyDescent="0.3">
      <c r="B51" s="152" t="s">
        <v>228</v>
      </c>
      <c r="C51" s="155">
        <v>-25000000</v>
      </c>
      <c r="D51" s="155">
        <v>25000000</v>
      </c>
      <c r="E51" s="120">
        <f t="shared" si="9"/>
        <v>0</v>
      </c>
      <c r="F51" s="48"/>
    </row>
    <row r="52" spans="2:10" x14ac:dyDescent="0.3">
      <c r="B52" s="152" t="s">
        <v>237</v>
      </c>
      <c r="C52" s="153"/>
      <c r="D52" s="155">
        <v>57166059</v>
      </c>
      <c r="E52" s="120">
        <f t="shared" si="9"/>
        <v>57166059</v>
      </c>
      <c r="F52" s="48"/>
    </row>
    <row r="53" spans="2:10" x14ac:dyDescent="0.3">
      <c r="B53" s="152" t="s">
        <v>129</v>
      </c>
      <c r="C53" s="154"/>
      <c r="D53" s="156">
        <v>812508</v>
      </c>
      <c r="E53" s="134">
        <f t="shared" si="9"/>
        <v>812508</v>
      </c>
      <c r="F53" s="48"/>
    </row>
    <row r="54" spans="2:10" x14ac:dyDescent="0.3">
      <c r="B54" s="220" t="s">
        <v>246</v>
      </c>
      <c r="C54" s="34">
        <f>SUM(C49:C53)</f>
        <v>852809772</v>
      </c>
      <c r="D54" s="34">
        <f>SUM(D49:D53)</f>
        <v>-13566119</v>
      </c>
      <c r="E54" s="34">
        <f>SUM(E49:E53)</f>
        <v>839243653</v>
      </c>
      <c r="F54" s="48"/>
    </row>
    <row r="55" spans="2:10" x14ac:dyDescent="0.3">
      <c r="B55" s="152" t="s">
        <v>251</v>
      </c>
      <c r="C55" s="151"/>
      <c r="D55" s="155">
        <f>-SUM('Share buyback program SBB '!E56:E58)</f>
        <v>-1400000</v>
      </c>
      <c r="E55" s="120">
        <f t="shared" si="9"/>
        <v>-1400000</v>
      </c>
      <c r="F55" s="48"/>
    </row>
    <row r="56" spans="2:10" x14ac:dyDescent="0.3">
      <c r="B56" s="152" t="s">
        <v>129</v>
      </c>
      <c r="C56" s="154"/>
      <c r="D56" s="156">
        <v>47303</v>
      </c>
      <c r="E56" s="134">
        <f t="shared" ref="E56" si="10">D56+C56</f>
        <v>47303</v>
      </c>
      <c r="F56" s="48"/>
    </row>
    <row r="57" spans="2:10" ht="14.5" x14ac:dyDescent="0.35">
      <c r="B57" s="220" t="s">
        <v>252</v>
      </c>
      <c r="C57" s="34">
        <f>SUM(C54:C56)</f>
        <v>852809772</v>
      </c>
      <c r="D57" s="34">
        <f t="shared" ref="D57:E57" si="11">SUM(D54:D56)</f>
        <v>-14918816</v>
      </c>
      <c r="E57" s="34">
        <f t="shared" si="11"/>
        <v>837890956</v>
      </c>
      <c r="F57" s="48"/>
      <c r="G57" s="181"/>
      <c r="H57" s="182"/>
      <c r="I57" s="182"/>
      <c r="J57" s="182"/>
    </row>
    <row r="58" spans="2:10" x14ac:dyDescent="0.3">
      <c r="B58" s="152" t="s">
        <v>263</v>
      </c>
      <c r="C58" s="151"/>
      <c r="D58" s="155">
        <f>-SUM('Share buyback program SBB '!E50:E54)</f>
        <v>-19163145</v>
      </c>
      <c r="E58" s="120">
        <f t="shared" ref="E58:E65" si="12">D58+C58</f>
        <v>-19163145</v>
      </c>
      <c r="F58" s="48"/>
    </row>
    <row r="59" spans="2:10" x14ac:dyDescent="0.3">
      <c r="B59" s="152" t="s">
        <v>129</v>
      </c>
      <c r="C59" s="154"/>
      <c r="D59" s="156">
        <v>543945</v>
      </c>
      <c r="E59" s="134">
        <f t="shared" si="12"/>
        <v>543945</v>
      </c>
    </row>
    <row r="60" spans="2:10" x14ac:dyDescent="0.3">
      <c r="B60" s="220" t="s">
        <v>264</v>
      </c>
      <c r="C60" s="34">
        <f>SUM(C57:C59)</f>
        <v>852809772</v>
      </c>
      <c r="D60" s="34">
        <f t="shared" ref="D60:E60" si="13">SUM(D57:D59)</f>
        <v>-33538016</v>
      </c>
      <c r="E60" s="34">
        <f t="shared" si="13"/>
        <v>819271756</v>
      </c>
      <c r="F60" s="255"/>
      <c r="G60" s="256"/>
      <c r="H60" s="248"/>
    </row>
    <row r="61" spans="2:10" x14ac:dyDescent="0.3">
      <c r="B61" s="152" t="s">
        <v>292</v>
      </c>
      <c r="C61" s="151"/>
      <c r="D61" s="155">
        <f>-SUM('Share buyback program SBB '!C36:C48)</f>
        <v>-22524803</v>
      </c>
      <c r="E61" s="268">
        <f t="shared" si="12"/>
        <v>-22524803</v>
      </c>
      <c r="F61" s="182"/>
      <c r="G61" s="182"/>
    </row>
    <row r="62" spans="2:10" x14ac:dyDescent="0.3">
      <c r="B62" s="152" t="s">
        <v>129</v>
      </c>
      <c r="C62" s="151"/>
      <c r="D62" s="155">
        <v>577308</v>
      </c>
      <c r="E62" s="120">
        <f t="shared" si="12"/>
        <v>577308</v>
      </c>
      <c r="F62" s="182"/>
      <c r="G62" s="182"/>
    </row>
    <row r="63" spans="2:10" x14ac:dyDescent="0.3">
      <c r="B63" s="220" t="s">
        <v>282</v>
      </c>
      <c r="C63" s="206">
        <f t="shared" ref="C63:D63" si="14">SUM(C60:C62)</f>
        <v>852809772</v>
      </c>
      <c r="D63" s="206">
        <f t="shared" si="14"/>
        <v>-55485511</v>
      </c>
      <c r="E63" s="206">
        <f>SUM(E60:E62)</f>
        <v>797324261</v>
      </c>
      <c r="F63" s="182"/>
      <c r="G63" s="182"/>
    </row>
    <row r="64" spans="2:10" x14ac:dyDescent="0.3">
      <c r="B64" s="152" t="s">
        <v>297</v>
      </c>
      <c r="C64" s="151"/>
      <c r="D64" s="155">
        <f>-SUM('Share buyback program SBB '!C27:C34)</f>
        <v>-12163499</v>
      </c>
      <c r="E64" s="268">
        <f t="shared" si="12"/>
        <v>-12163499</v>
      </c>
      <c r="F64" s="182"/>
      <c r="G64" s="182"/>
    </row>
    <row r="65" spans="2:7" x14ac:dyDescent="0.3">
      <c r="B65" s="152" t="s">
        <v>129</v>
      </c>
      <c r="C65" s="151"/>
      <c r="D65" s="155">
        <v>227028</v>
      </c>
      <c r="E65" s="120">
        <f t="shared" si="12"/>
        <v>227028</v>
      </c>
      <c r="F65" s="182"/>
      <c r="G65" s="182"/>
    </row>
    <row r="66" spans="2:7" x14ac:dyDescent="0.3">
      <c r="B66" s="220" t="s">
        <v>310</v>
      </c>
      <c r="C66" s="206">
        <f t="shared" ref="C66:D66" si="15">SUM(C63:C65)</f>
        <v>852809772</v>
      </c>
      <c r="D66" s="206">
        <f t="shared" si="15"/>
        <v>-67421982</v>
      </c>
      <c r="E66" s="206">
        <f>SUM(E63:E65)</f>
        <v>785387790</v>
      </c>
      <c r="F66" s="182"/>
      <c r="G66" s="182"/>
    </row>
    <row r="67" spans="2:7" x14ac:dyDescent="0.3">
      <c r="B67" s="152" t="s">
        <v>321</v>
      </c>
      <c r="C67" s="151"/>
      <c r="D67" s="155">
        <f>-SUM('Share buyback program SBB '!C17:C25)</f>
        <v>-11926071</v>
      </c>
      <c r="E67" s="268">
        <f t="shared" ref="E67:E68" si="16">D67+C67</f>
        <v>-11926071</v>
      </c>
      <c r="F67" s="182"/>
      <c r="G67" s="256"/>
    </row>
    <row r="68" spans="2:7" x14ac:dyDescent="0.3">
      <c r="B68" s="152" t="s">
        <v>129</v>
      </c>
      <c r="C68" s="151"/>
      <c r="D68" s="155">
        <v>40256</v>
      </c>
      <c r="E68" s="120">
        <f t="shared" si="16"/>
        <v>40256</v>
      </c>
      <c r="F68" s="182"/>
      <c r="G68" s="182"/>
    </row>
    <row r="69" spans="2:7" x14ac:dyDescent="0.3">
      <c r="B69" s="220" t="s">
        <v>326</v>
      </c>
      <c r="C69" s="206">
        <f t="shared" ref="C69:D69" si="17">SUM(C66:C68)</f>
        <v>852809772</v>
      </c>
      <c r="D69" s="206">
        <f t="shared" si="17"/>
        <v>-79307797</v>
      </c>
      <c r="E69" s="206">
        <f>SUM(E66:E68)</f>
        <v>773501975</v>
      </c>
      <c r="F69" s="182"/>
      <c r="G69" s="256"/>
    </row>
    <row r="70" spans="2:7" x14ac:dyDescent="0.3">
      <c r="B70" s="152" t="s">
        <v>332</v>
      </c>
      <c r="C70" s="151"/>
      <c r="D70" s="155">
        <f>-SUM('Share buyback program SBB '!C11:C15)</f>
        <v>-5343014</v>
      </c>
      <c r="E70" s="268">
        <f t="shared" ref="E70:E71" si="18">D70+C70</f>
        <v>-5343014</v>
      </c>
      <c r="F70" s="182"/>
      <c r="G70" s="182"/>
    </row>
    <row r="71" spans="2:7" x14ac:dyDescent="0.3">
      <c r="B71" s="152" t="s">
        <v>129</v>
      </c>
      <c r="C71" s="151"/>
      <c r="D71" s="155">
        <v>387661</v>
      </c>
      <c r="E71" s="120">
        <f t="shared" si="18"/>
        <v>387661</v>
      </c>
    </row>
    <row r="72" spans="2:7" x14ac:dyDescent="0.3">
      <c r="B72" s="220" t="s">
        <v>331</v>
      </c>
      <c r="C72" s="206">
        <f t="shared" ref="C72:D72" si="19">SUM(C69:C71)</f>
        <v>852809772</v>
      </c>
      <c r="D72" s="206">
        <f t="shared" si="19"/>
        <v>-84263150</v>
      </c>
      <c r="E72" s="206">
        <f>SUM(E69:E71)</f>
        <v>768546622</v>
      </c>
      <c r="F72" s="48"/>
    </row>
    <row r="73" spans="2:7" x14ac:dyDescent="0.3">
      <c r="B73" s="152" t="s">
        <v>346</v>
      </c>
      <c r="C73" s="151"/>
      <c r="D73" s="155">
        <f>-SUM('Share buyback program SBB '!C5:C9)</f>
        <v>-5984000</v>
      </c>
      <c r="E73" s="120">
        <f>+D73+C73</f>
        <v>-5984000</v>
      </c>
      <c r="F73" s="48"/>
    </row>
    <row r="74" spans="2:7" x14ac:dyDescent="0.3">
      <c r="B74" s="152" t="s">
        <v>129</v>
      </c>
      <c r="C74" s="151"/>
      <c r="D74" s="155">
        <v>645335</v>
      </c>
      <c r="E74" s="120">
        <f>+D74+C74</f>
        <v>645335</v>
      </c>
      <c r="F74" s="48"/>
    </row>
    <row r="75" spans="2:7" x14ac:dyDescent="0.3">
      <c r="B75" s="220" t="s">
        <v>347</v>
      </c>
      <c r="C75" s="206">
        <f t="shared" ref="C75:D75" si="20">SUM(C72:C74)</f>
        <v>852809772</v>
      </c>
      <c r="D75" s="206">
        <f t="shared" si="20"/>
        <v>-89601815</v>
      </c>
      <c r="E75" s="206">
        <f>SUM(E72:E74)</f>
        <v>763207957</v>
      </c>
      <c r="F75" s="48" t="s">
        <v>156</v>
      </c>
    </row>
    <row r="76" spans="2:7" ht="23.25" customHeight="1" x14ac:dyDescent="0.3">
      <c r="B76" s="51" t="s">
        <v>87</v>
      </c>
      <c r="C76" s="225"/>
      <c r="D76" s="49"/>
    </row>
    <row r="77" spans="2:7" x14ac:dyDescent="0.3">
      <c r="B77" s="52" t="s">
        <v>157</v>
      </c>
      <c r="E77" s="256"/>
    </row>
  </sheetData>
  <hyperlinks>
    <hyperlink ref="F75" r:id="rId1" display="https://corporate.arcelormittal.com/investors/corporate-governance/shareholding-structure" xr:uid="{A16EB1FC-AAA0-4992-930D-6D3DCC2C7164}"/>
  </hyperlinks>
  <pageMargins left="0.25" right="0.25" top="0.75" bottom="0.75" header="0.3" footer="0.3"/>
  <pageSetup paperSize="9" scale="68" orientation="portrait" verticalDpi="360" r:id="rId2"/>
  <ignoredErrors>
    <ignoredError sqref="E43 E40 E49 E35 E54 E57 E60 E63:E69" formula="1"/>
    <ignoredError sqref="D4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09065-058F-4FD2-8E28-A1AF5868CD60}">
  <dimension ref="A1:AU21"/>
  <sheetViews>
    <sheetView showGridLines="0" zoomScaleNormal="100" workbookViewId="0">
      <pane xSplit="1" ySplit="2" topLeftCell="B3" activePane="bottomRight" state="frozen"/>
      <selection pane="topRight"/>
      <selection pane="bottomLeft"/>
      <selection pane="bottomRight" activeCell="AH27" sqref="AH27"/>
    </sheetView>
  </sheetViews>
  <sheetFormatPr defaultColWidth="9.1796875" defaultRowHeight="12.5" outlineLevelRow="1" outlineLevelCol="1" x14ac:dyDescent="0.25"/>
  <cols>
    <col min="1" max="1" width="46" style="4" bestFit="1" customWidth="1"/>
    <col min="2" max="2" width="9.453125" style="4" customWidth="1"/>
    <col min="3" max="9" width="8.54296875" style="6" hidden="1" customWidth="1" outlineLevel="1"/>
    <col min="10" max="10" width="9.54296875" style="6" hidden="1" customWidth="1" outlineLevel="1" collapsed="1"/>
    <col min="11" max="16" width="9.54296875" style="6" hidden="1" customWidth="1" outlineLevel="1"/>
    <col min="17" max="17" width="10.54296875" style="6" hidden="1" customWidth="1" outlineLevel="1" collapsed="1"/>
    <col min="18" max="23" width="10.54296875" style="6" hidden="1" customWidth="1" outlineLevel="1"/>
    <col min="24" max="24" width="13.54296875" style="6" hidden="1" customWidth="1" outlineLevel="1" collapsed="1"/>
    <col min="25" max="26" width="10.54296875" style="6" hidden="1" customWidth="1" outlineLevel="1"/>
    <col min="27" max="27" width="10.54296875" style="6" hidden="1" customWidth="1" outlineLevel="1" collapsed="1"/>
    <col min="28" max="28" width="10.54296875" style="6" hidden="1" customWidth="1" outlineLevel="1"/>
    <col min="29" max="29" width="10.54296875" style="6" hidden="1" customWidth="1" outlineLevel="1" collapsed="1"/>
    <col min="30" max="30" width="10.54296875" style="6" hidden="1" customWidth="1" outlineLevel="1"/>
    <col min="31" max="32" width="11.7265625" style="6" customWidth="1" collapsed="1"/>
    <col min="33" max="35" width="11.7265625" style="6" customWidth="1"/>
    <col min="36" max="36" width="11.1796875" style="6" hidden="1" customWidth="1" outlineLevel="1"/>
    <col min="37" max="37" width="11.7265625" style="6" customWidth="1" collapsed="1"/>
    <col min="38" max="38" width="11.1796875" style="6" hidden="1" customWidth="1" outlineLevel="1" collapsed="1"/>
    <col min="39" max="42" width="11.1796875" style="6" hidden="1" customWidth="1" outlineLevel="1"/>
    <col min="43" max="43" width="68.453125" style="6" customWidth="1" collapsed="1"/>
    <col min="44" max="47" width="9.1796875" style="6"/>
    <col min="48" max="49" width="9.1796875" style="4"/>
    <col min="50" max="50" width="9.1796875" style="4" customWidth="1"/>
    <col min="51" max="16384" width="9.1796875" style="4"/>
  </cols>
  <sheetData>
    <row r="1" spans="1:47" ht="30" customHeight="1" x14ac:dyDescent="0.3">
      <c r="A1" s="114" t="s">
        <v>158</v>
      </c>
      <c r="Q1" s="122"/>
      <c r="R1" s="123"/>
      <c r="S1" s="123"/>
      <c r="T1" s="299"/>
      <c r="U1" s="299"/>
      <c r="V1" s="299"/>
      <c r="W1" s="299"/>
      <c r="X1" s="147"/>
      <c r="Y1" s="147"/>
      <c r="Z1" s="147"/>
      <c r="AA1" s="293"/>
      <c r="AB1" s="293"/>
      <c r="AC1" s="293"/>
      <c r="AD1" s="293"/>
      <c r="AE1" s="147"/>
      <c r="AF1" s="147"/>
      <c r="AG1" s="147"/>
      <c r="AH1" s="292"/>
      <c r="AI1" s="292"/>
      <c r="AJ1" s="147"/>
      <c r="AK1" s="147" t="s">
        <v>354</v>
      </c>
      <c r="AL1" s="147"/>
      <c r="AM1" s="147"/>
      <c r="AN1" s="292"/>
      <c r="AO1" s="292"/>
      <c r="AP1" s="147"/>
    </row>
    <row r="2" spans="1:47" s="2" customFormat="1" ht="45" customHeight="1" x14ac:dyDescent="0.35">
      <c r="A2" s="194"/>
      <c r="B2" s="195"/>
      <c r="C2" s="10" t="s">
        <v>159</v>
      </c>
      <c r="D2" s="11" t="s">
        <v>160</v>
      </c>
      <c r="E2" s="11" t="s">
        <v>161</v>
      </c>
      <c r="F2" s="11" t="s">
        <v>162</v>
      </c>
      <c r="G2" s="11" t="s">
        <v>163</v>
      </c>
      <c r="H2" s="11" t="s">
        <v>164</v>
      </c>
      <c r="I2" s="12" t="s">
        <v>165</v>
      </c>
      <c r="J2" s="10" t="s">
        <v>166</v>
      </c>
      <c r="K2" s="11" t="s">
        <v>167</v>
      </c>
      <c r="L2" s="11" t="s">
        <v>168</v>
      </c>
      <c r="M2" s="11" t="s">
        <v>169</v>
      </c>
      <c r="N2" s="11" t="s">
        <v>170</v>
      </c>
      <c r="O2" s="11" t="s">
        <v>171</v>
      </c>
      <c r="P2" s="12" t="s">
        <v>172</v>
      </c>
      <c r="Q2" s="10" t="s">
        <v>173</v>
      </c>
      <c r="R2" s="11" t="s">
        <v>174</v>
      </c>
      <c r="S2" s="11" t="s">
        <v>175</v>
      </c>
      <c r="T2" s="11" t="s">
        <v>176</v>
      </c>
      <c r="U2" s="11" t="s">
        <v>177</v>
      </c>
      <c r="V2" s="11" t="s">
        <v>201</v>
      </c>
      <c r="W2" s="11" t="s">
        <v>202</v>
      </c>
      <c r="X2" s="11" t="s">
        <v>210</v>
      </c>
      <c r="Y2" s="11" t="s">
        <v>222</v>
      </c>
      <c r="Z2" s="11" t="s">
        <v>223</v>
      </c>
      <c r="AA2" s="11" t="s">
        <v>247</v>
      </c>
      <c r="AB2" s="12" t="s">
        <v>248</v>
      </c>
      <c r="AC2" s="11" t="s">
        <v>265</v>
      </c>
      <c r="AD2" s="12" t="s">
        <v>266</v>
      </c>
      <c r="AE2" s="10" t="s">
        <v>283</v>
      </c>
      <c r="AF2" s="11" t="s">
        <v>298</v>
      </c>
      <c r="AG2" s="246" t="s">
        <v>322</v>
      </c>
      <c r="AH2" s="246" t="s">
        <v>339</v>
      </c>
      <c r="AI2" s="247" t="s">
        <v>340</v>
      </c>
      <c r="AJ2" s="212" t="s">
        <v>301</v>
      </c>
      <c r="AK2" s="212" t="s">
        <v>348</v>
      </c>
      <c r="AL2" s="11" t="s">
        <v>349</v>
      </c>
      <c r="AM2" s="246" t="s">
        <v>350</v>
      </c>
      <c r="AN2" s="247" t="s">
        <v>351</v>
      </c>
      <c r="AO2" s="247" t="s">
        <v>352</v>
      </c>
      <c r="AP2" s="212" t="s">
        <v>353</v>
      </c>
      <c r="AQ2" s="3"/>
      <c r="AR2" s="3"/>
      <c r="AS2" s="3"/>
      <c r="AT2" s="3"/>
      <c r="AU2" s="3"/>
    </row>
    <row r="3" spans="1:47" ht="13" x14ac:dyDescent="0.3">
      <c r="A3" s="4" t="s">
        <v>178</v>
      </c>
      <c r="B3" s="192" t="s">
        <v>179</v>
      </c>
      <c r="C3" s="8">
        <v>-1120</v>
      </c>
      <c r="D3" s="5">
        <v>-559</v>
      </c>
      <c r="E3" s="5">
        <v>-1678.6</v>
      </c>
      <c r="F3" s="5">
        <v>-261</v>
      </c>
      <c r="G3" s="5">
        <v>-1940</v>
      </c>
      <c r="H3" s="5">
        <v>1207</v>
      </c>
      <c r="I3" s="9">
        <v>-733</v>
      </c>
      <c r="J3" s="8">
        <v>2285</v>
      </c>
      <c r="K3" s="5">
        <v>4005</v>
      </c>
      <c r="L3" s="5">
        <f>J3+K3</f>
        <v>6290</v>
      </c>
      <c r="M3" s="5">
        <v>4621</v>
      </c>
      <c r="N3" s="5">
        <f>10911</f>
        <v>10911</v>
      </c>
      <c r="O3" s="5">
        <v>4045</v>
      </c>
      <c r="P3" s="9">
        <v>14956</v>
      </c>
      <c r="Q3" s="124">
        <v>4125</v>
      </c>
      <c r="R3" s="125">
        <v>3923</v>
      </c>
      <c r="S3" s="125">
        <v>8048</v>
      </c>
      <c r="T3" s="125">
        <v>993</v>
      </c>
      <c r="U3" s="125">
        <v>9041</v>
      </c>
      <c r="V3" s="142">
        <v>261</v>
      </c>
      <c r="W3" s="142">
        <v>9302</v>
      </c>
      <c r="X3" s="142">
        <v>1096</v>
      </c>
      <c r="Y3" s="186">
        <v>1859.7995892463398</v>
      </c>
      <c r="Z3" s="186">
        <v>2955.86181149392</v>
      </c>
      <c r="AA3" s="5">
        <v>928.78631455462028</v>
      </c>
      <c r="AB3" s="140">
        <v>3884.6481260485402</v>
      </c>
      <c r="AC3" s="211">
        <v>-2966</v>
      </c>
      <c r="AD3" s="9">
        <v>919</v>
      </c>
      <c r="AE3" s="231">
        <f>938471061.309256/10^6</f>
        <v>938.4710613092559</v>
      </c>
      <c r="AF3" s="125">
        <v>504</v>
      </c>
      <c r="AG3" s="125">
        <f>287099454.65054/10^6</f>
        <v>287.09945465054</v>
      </c>
      <c r="AH3" s="125">
        <v>-390</v>
      </c>
      <c r="AI3" s="257">
        <v>1339</v>
      </c>
      <c r="AJ3" s="258">
        <v>0</v>
      </c>
      <c r="AK3" s="273"/>
      <c r="AL3" s="125"/>
      <c r="AM3" s="125"/>
      <c r="AN3" s="9"/>
      <c r="AO3" s="9"/>
      <c r="AP3" s="213"/>
      <c r="AQ3" s="209"/>
    </row>
    <row r="4" spans="1:47" x14ac:dyDescent="0.25">
      <c r="B4" s="193"/>
      <c r="C4" s="8"/>
      <c r="D4" s="5"/>
      <c r="E4" s="5"/>
      <c r="F4" s="5"/>
      <c r="G4" s="5"/>
      <c r="H4" s="5"/>
      <c r="I4" s="9"/>
      <c r="J4" s="8"/>
      <c r="K4" s="5"/>
      <c r="L4" s="5"/>
      <c r="M4" s="5"/>
      <c r="N4" s="5"/>
      <c r="O4" s="5"/>
      <c r="P4" s="9"/>
      <c r="Q4" s="124"/>
      <c r="R4" s="126"/>
      <c r="S4" s="126"/>
      <c r="T4" s="5"/>
      <c r="U4" s="5"/>
      <c r="V4" s="5"/>
      <c r="W4" s="5"/>
      <c r="X4" s="5"/>
      <c r="Y4" s="5"/>
      <c r="Z4" s="5"/>
      <c r="AA4" s="5"/>
      <c r="AB4" s="9"/>
      <c r="AC4" s="5"/>
      <c r="AD4" s="9"/>
      <c r="AE4" s="232"/>
      <c r="AF4" s="7"/>
      <c r="AG4" s="5"/>
      <c r="AH4" s="5"/>
      <c r="AI4" s="9"/>
      <c r="AJ4" s="213"/>
      <c r="AK4" s="264"/>
      <c r="AL4" s="7"/>
      <c r="AM4" s="5"/>
      <c r="AN4" s="9"/>
      <c r="AO4" s="9"/>
      <c r="AP4" s="213"/>
      <c r="AQ4" s="111"/>
    </row>
    <row r="5" spans="1:47" x14ac:dyDescent="0.25">
      <c r="A5" s="4" t="s">
        <v>180</v>
      </c>
      <c r="B5" s="294" t="s">
        <v>181</v>
      </c>
      <c r="C5" s="8">
        <v>1012</v>
      </c>
      <c r="D5" s="5">
        <v>1012</v>
      </c>
      <c r="E5" s="5">
        <v>1012</v>
      </c>
      <c r="F5" s="5">
        <v>1012</v>
      </c>
      <c r="G5" s="5">
        <v>1012</v>
      </c>
      <c r="H5" s="5">
        <v>1008</v>
      </c>
      <c r="I5" s="9">
        <v>1012</v>
      </c>
      <c r="J5" s="8">
        <v>1081</v>
      </c>
      <c r="K5" s="5">
        <v>1054</v>
      </c>
      <c r="L5" s="5">
        <v>1081</v>
      </c>
      <c r="M5" s="5">
        <v>1019</v>
      </c>
      <c r="N5" s="5">
        <v>1081</v>
      </c>
      <c r="O5" s="5">
        <v>970</v>
      </c>
      <c r="P5" s="9">
        <v>1081</v>
      </c>
      <c r="Q5" s="124">
        <v>911</v>
      </c>
      <c r="R5" s="126">
        <v>893</v>
      </c>
      <c r="S5" s="126">
        <v>911</v>
      </c>
      <c r="T5" s="141">
        <v>847</v>
      </c>
      <c r="U5" s="141">
        <f>+Q5</f>
        <v>911</v>
      </c>
      <c r="V5" s="141">
        <v>816</v>
      </c>
      <c r="W5" s="141">
        <f>+Q5</f>
        <v>911</v>
      </c>
      <c r="X5" s="141">
        <f>'Shares issued, TS &amp; outstanding'!E46/10^6</f>
        <v>805.33792900000003</v>
      </c>
      <c r="Y5" s="141">
        <v>787</v>
      </c>
      <c r="Z5" s="141">
        <f>X5</f>
        <v>805.33792900000003</v>
      </c>
      <c r="AA5" s="141">
        <v>839</v>
      </c>
      <c r="AB5" s="140">
        <v>805</v>
      </c>
      <c r="AC5" s="141">
        <v>838</v>
      </c>
      <c r="AD5" s="140">
        <f>AB5</f>
        <v>805</v>
      </c>
      <c r="AE5" s="124">
        <v>819</v>
      </c>
      <c r="AF5" s="126">
        <v>797</v>
      </c>
      <c r="AG5" s="126">
        <v>785.22702800000002</v>
      </c>
      <c r="AH5" s="126">
        <v>774</v>
      </c>
      <c r="AI5" s="185">
        <v>819</v>
      </c>
      <c r="AJ5" s="214">
        <v>819</v>
      </c>
      <c r="AK5" s="215">
        <f>('Shares issued, TS &amp; outstanding'!E72/10^6)</f>
        <v>768.54662199999996</v>
      </c>
      <c r="AL5" s="126"/>
      <c r="AM5" s="126"/>
      <c r="AN5" s="185"/>
      <c r="AO5" s="185"/>
      <c r="AP5" s="214"/>
      <c r="AQ5" s="157"/>
      <c r="AR5" s="13"/>
    </row>
    <row r="6" spans="1:47" hidden="1" outlineLevel="1" x14ac:dyDescent="0.25">
      <c r="A6" s="15" t="s">
        <v>182</v>
      </c>
      <c r="B6" s="295"/>
      <c r="C6" s="8">
        <v>0</v>
      </c>
      <c r="D6" s="5">
        <v>42</v>
      </c>
      <c r="E6" s="5">
        <v>21</v>
      </c>
      <c r="F6" s="5">
        <v>81</v>
      </c>
      <c r="G6" s="5">
        <v>41</v>
      </c>
      <c r="H6" s="5">
        <v>81</v>
      </c>
      <c r="I6" s="9">
        <v>51</v>
      </c>
      <c r="J6" s="8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9">
        <v>0</v>
      </c>
      <c r="Q6" s="124">
        <v>0</v>
      </c>
      <c r="R6" s="126">
        <v>0</v>
      </c>
      <c r="S6" s="126">
        <v>0</v>
      </c>
      <c r="T6" s="141">
        <v>0</v>
      </c>
      <c r="U6" s="141">
        <v>0</v>
      </c>
      <c r="V6" s="141">
        <v>0</v>
      </c>
      <c r="W6" s="112">
        <v>0</v>
      </c>
      <c r="X6" s="141">
        <v>0</v>
      </c>
      <c r="Y6" s="141"/>
      <c r="Z6" s="141"/>
      <c r="AA6" s="141"/>
      <c r="AB6" s="140"/>
      <c r="AC6" s="141"/>
      <c r="AD6" s="140"/>
      <c r="AE6" s="124">
        <v>0</v>
      </c>
      <c r="AF6" s="126">
        <v>0</v>
      </c>
      <c r="AG6" s="141"/>
      <c r="AH6" s="141"/>
      <c r="AI6" s="140"/>
      <c r="AJ6" s="214">
        <v>0</v>
      </c>
      <c r="AK6" s="215">
        <v>0</v>
      </c>
      <c r="AL6" s="126"/>
      <c r="AM6" s="141"/>
      <c r="AN6" s="140"/>
      <c r="AO6" s="140"/>
      <c r="AP6" s="214"/>
      <c r="AQ6" s="111"/>
    </row>
    <row r="7" spans="1:47" collapsed="1" x14ac:dyDescent="0.25">
      <c r="A7" s="4" t="s">
        <v>183</v>
      </c>
      <c r="B7" s="295"/>
      <c r="C7" s="8">
        <v>0</v>
      </c>
      <c r="D7" s="5">
        <v>0</v>
      </c>
      <c r="E7" s="5">
        <v>0</v>
      </c>
      <c r="F7" s="7">
        <v>0</v>
      </c>
      <c r="G7" s="5">
        <v>0</v>
      </c>
      <c r="H7" s="5">
        <v>-24</v>
      </c>
      <c r="I7" s="9">
        <v>-7</v>
      </c>
      <c r="J7" s="8">
        <v>-11</v>
      </c>
      <c r="K7" s="5">
        <v>-8</v>
      </c>
      <c r="L7" s="5">
        <v>-25</v>
      </c>
      <c r="M7" s="5">
        <v>-19</v>
      </c>
      <c r="N7" s="5">
        <v>-42</v>
      </c>
      <c r="O7" s="5">
        <v>-29</v>
      </c>
      <c r="P7" s="9">
        <v>-68</v>
      </c>
      <c r="Q7" s="124">
        <v>-3</v>
      </c>
      <c r="R7" s="126">
        <v>-26</v>
      </c>
      <c r="S7" s="126">
        <v>-24</v>
      </c>
      <c r="T7" s="141">
        <v>-12</v>
      </c>
      <c r="U7" s="141">
        <v>-42</v>
      </c>
      <c r="V7" s="141">
        <v>-8</v>
      </c>
      <c r="W7" s="141">
        <v>-58</v>
      </c>
      <c r="X7" s="126">
        <v>-3</v>
      </c>
      <c r="Y7" s="141">
        <v>-3</v>
      </c>
      <c r="Z7" s="141">
        <v>-12</v>
      </c>
      <c r="AA7" s="126">
        <v>-1</v>
      </c>
      <c r="AB7" s="185">
        <v>-16</v>
      </c>
      <c r="AC7" s="126">
        <v>-8</v>
      </c>
      <c r="AD7" s="185">
        <v>-21.230491608219179</v>
      </c>
      <c r="AE7" s="124">
        <v>-10</v>
      </c>
      <c r="AF7" s="126">
        <v>-3.2033375934065931</v>
      </c>
      <c r="AG7" s="126">
        <v>-7</v>
      </c>
      <c r="AH7" s="126">
        <v>-2</v>
      </c>
      <c r="AI7" s="185">
        <v>-32</v>
      </c>
      <c r="AJ7" s="215">
        <v>-19.68137157692308</v>
      </c>
      <c r="AK7" s="214">
        <v>-0.46932015555555556</v>
      </c>
      <c r="AL7" s="126"/>
      <c r="AM7" s="126"/>
      <c r="AN7" s="185"/>
      <c r="AO7" s="185"/>
      <c r="AP7" s="215"/>
      <c r="AQ7" s="161"/>
      <c r="AR7" s="99"/>
    </row>
    <row r="8" spans="1:47" s="16" customFormat="1" x14ac:dyDescent="0.35">
      <c r="A8" s="16" t="s">
        <v>240</v>
      </c>
      <c r="B8" s="295"/>
      <c r="C8" s="17">
        <v>0</v>
      </c>
      <c r="D8" s="18">
        <v>65</v>
      </c>
      <c r="E8" s="18">
        <v>33</v>
      </c>
      <c r="F8" s="18">
        <v>135</v>
      </c>
      <c r="G8" s="18">
        <v>67</v>
      </c>
      <c r="H8" s="18">
        <v>134</v>
      </c>
      <c r="I8" s="158">
        <v>84</v>
      </c>
      <c r="J8" s="17">
        <v>108</v>
      </c>
      <c r="K8" s="18">
        <v>108</v>
      </c>
      <c r="L8" s="18">
        <v>108</v>
      </c>
      <c r="M8" s="18">
        <v>109</v>
      </c>
      <c r="N8" s="18">
        <v>108</v>
      </c>
      <c r="O8" s="18">
        <v>89</v>
      </c>
      <c r="P8" s="158">
        <v>92</v>
      </c>
      <c r="Q8" s="159">
        <v>56</v>
      </c>
      <c r="R8" s="144">
        <v>57</v>
      </c>
      <c r="S8" s="144">
        <v>57</v>
      </c>
      <c r="T8" s="144">
        <v>57</v>
      </c>
      <c r="U8" s="144">
        <v>57</v>
      </c>
      <c r="V8" s="144">
        <v>57</v>
      </c>
      <c r="W8" s="144">
        <v>57</v>
      </c>
      <c r="X8" s="144">
        <v>57</v>
      </c>
      <c r="Y8" s="144">
        <v>57</v>
      </c>
      <c r="Z8" s="144">
        <v>57</v>
      </c>
      <c r="AA8" s="144">
        <v>0</v>
      </c>
      <c r="AB8" s="160">
        <v>57</v>
      </c>
      <c r="AC8" s="144">
        <v>0</v>
      </c>
      <c r="AD8" s="160">
        <f>AB8</f>
        <v>57</v>
      </c>
      <c r="AE8" s="233">
        <v>0</v>
      </c>
      <c r="AF8" s="234">
        <v>0</v>
      </c>
      <c r="AG8" s="144">
        <v>0</v>
      </c>
      <c r="AH8" s="144">
        <v>0</v>
      </c>
      <c r="AI8" s="160">
        <v>0</v>
      </c>
      <c r="AJ8" s="216">
        <v>0</v>
      </c>
      <c r="AK8" s="216">
        <v>0</v>
      </c>
      <c r="AL8" s="234">
        <v>0</v>
      </c>
      <c r="AM8" s="144">
        <v>0</v>
      </c>
      <c r="AN8" s="160">
        <v>0</v>
      </c>
      <c r="AO8" s="160">
        <v>0</v>
      </c>
      <c r="AP8" s="216">
        <v>0</v>
      </c>
      <c r="AQ8" s="161"/>
      <c r="AR8" s="99"/>
    </row>
    <row r="9" spans="1:47" x14ac:dyDescent="0.25">
      <c r="A9" s="4" t="s">
        <v>238</v>
      </c>
      <c r="B9" s="295"/>
      <c r="C9" s="8"/>
      <c r="D9" s="5"/>
      <c r="E9" s="5"/>
      <c r="F9" s="5"/>
      <c r="G9" s="5"/>
      <c r="H9" s="5"/>
      <c r="I9" s="9"/>
      <c r="J9" s="8"/>
      <c r="K9" s="5"/>
      <c r="L9" s="5"/>
      <c r="M9" s="5"/>
      <c r="N9" s="5"/>
      <c r="O9" s="5"/>
      <c r="P9" s="9"/>
      <c r="Q9" s="148"/>
      <c r="R9" s="141"/>
      <c r="S9" s="141"/>
      <c r="T9" s="112"/>
      <c r="U9" s="112"/>
      <c r="V9" s="141"/>
      <c r="W9" s="141">
        <v>1</v>
      </c>
      <c r="X9" s="141"/>
      <c r="Y9" s="141">
        <v>1</v>
      </c>
      <c r="Z9" s="141">
        <v>1</v>
      </c>
      <c r="AA9" s="141">
        <v>0</v>
      </c>
      <c r="AB9" s="140">
        <v>1</v>
      </c>
      <c r="AC9" s="141">
        <v>0</v>
      </c>
      <c r="AD9" s="140">
        <v>1.1680115369863013</v>
      </c>
      <c r="AE9" s="124">
        <v>0</v>
      </c>
      <c r="AF9" s="126">
        <v>0</v>
      </c>
      <c r="AG9" s="141">
        <v>0</v>
      </c>
      <c r="AH9" s="141">
        <v>0</v>
      </c>
      <c r="AI9" s="140">
        <v>1</v>
      </c>
      <c r="AJ9" s="214">
        <v>0.5524065659340659</v>
      </c>
      <c r="AK9" s="214">
        <v>0</v>
      </c>
      <c r="AL9" s="126">
        <v>0</v>
      </c>
      <c r="AM9" s="141">
        <v>0</v>
      </c>
      <c r="AN9" s="140">
        <v>0</v>
      </c>
      <c r="AO9" s="140"/>
      <c r="AP9" s="214"/>
      <c r="AQ9" s="113"/>
      <c r="AR9" s="99"/>
    </row>
    <row r="10" spans="1:47" s="16" customFormat="1" ht="31.5" customHeight="1" x14ac:dyDescent="0.35">
      <c r="A10" s="28" t="s">
        <v>184</v>
      </c>
      <c r="B10" s="295"/>
      <c r="C10" s="23">
        <v>1012</v>
      </c>
      <c r="D10" s="24">
        <v>1119</v>
      </c>
      <c r="E10" s="24">
        <v>1066</v>
      </c>
      <c r="F10" s="24">
        <v>1228</v>
      </c>
      <c r="G10" s="25">
        <v>1120</v>
      </c>
      <c r="H10" s="25">
        <v>1199</v>
      </c>
      <c r="I10" s="26">
        <v>1140</v>
      </c>
      <c r="J10" s="27">
        <v>1178</v>
      </c>
      <c r="K10" s="25">
        <v>1154</v>
      </c>
      <c r="L10" s="25">
        <v>1164</v>
      </c>
      <c r="M10" s="25">
        <v>1109</v>
      </c>
      <c r="N10" s="25">
        <v>1147</v>
      </c>
      <c r="O10" s="25">
        <v>1030</v>
      </c>
      <c r="P10" s="26">
        <v>1105</v>
      </c>
      <c r="Q10" s="149">
        <f t="shared" ref="Q10:V10" si="0">SUM(Q5:Q9)</f>
        <v>964</v>
      </c>
      <c r="R10" s="139">
        <f t="shared" si="0"/>
        <v>924</v>
      </c>
      <c r="S10" s="139">
        <f t="shared" si="0"/>
        <v>944</v>
      </c>
      <c r="T10" s="139">
        <f t="shared" si="0"/>
        <v>892</v>
      </c>
      <c r="U10" s="139">
        <f t="shared" si="0"/>
        <v>926</v>
      </c>
      <c r="V10" s="139">
        <f t="shared" si="0"/>
        <v>865</v>
      </c>
      <c r="W10" s="139">
        <f>SUM(W5:W9)</f>
        <v>911</v>
      </c>
      <c r="X10" s="139">
        <f t="shared" ref="X10:Z10" si="1">SUM(X5:X9)</f>
        <v>859.33792900000003</v>
      </c>
      <c r="Y10" s="139">
        <f t="shared" si="1"/>
        <v>842</v>
      </c>
      <c r="Z10" s="139">
        <f t="shared" si="1"/>
        <v>851.33792900000003</v>
      </c>
      <c r="AA10" s="139">
        <f t="shared" ref="AA10:AB10" si="2">SUM(AA5:AA9)</f>
        <v>838</v>
      </c>
      <c r="AB10" s="143">
        <f t="shared" si="2"/>
        <v>847</v>
      </c>
      <c r="AC10" s="139">
        <f t="shared" ref="AC10" si="3">SUM(AC5:AC9)</f>
        <v>830</v>
      </c>
      <c r="AD10" s="143">
        <f t="shared" ref="AD10:AJ10" si="4">SUM(AD5:AD9)</f>
        <v>841.93751992876719</v>
      </c>
      <c r="AE10" s="235">
        <f t="shared" si="4"/>
        <v>809</v>
      </c>
      <c r="AF10" s="236">
        <f t="shared" si="4"/>
        <v>793.79666240659344</v>
      </c>
      <c r="AG10" s="139">
        <f t="shared" si="4"/>
        <v>778.22702800000002</v>
      </c>
      <c r="AH10" s="139">
        <f t="shared" ref="AH10" si="5">SUM(AH5:AH9)</f>
        <v>772</v>
      </c>
      <c r="AI10" s="139">
        <f t="shared" si="4"/>
        <v>788</v>
      </c>
      <c r="AJ10" s="217">
        <f t="shared" si="4"/>
        <v>799.87103498901104</v>
      </c>
      <c r="AK10" s="265">
        <f>SUM(AK5:AK9)</f>
        <v>768.07730184444438</v>
      </c>
      <c r="AL10" s="236">
        <f t="shared" ref="AL10:AP10" si="6">SUM(AL5:AL9)</f>
        <v>0</v>
      </c>
      <c r="AM10" s="139">
        <f t="shared" si="6"/>
        <v>0</v>
      </c>
      <c r="AN10" s="139">
        <f t="shared" si="6"/>
        <v>0</v>
      </c>
      <c r="AO10" s="139">
        <f t="shared" si="6"/>
        <v>0</v>
      </c>
      <c r="AP10" s="217">
        <f t="shared" si="6"/>
        <v>0</v>
      </c>
      <c r="AQ10" s="110"/>
      <c r="AR10" s="22"/>
      <c r="AS10" s="22"/>
      <c r="AT10" s="22"/>
      <c r="AU10" s="22"/>
    </row>
    <row r="11" spans="1:47" s="16" customFormat="1" ht="18" customHeight="1" x14ac:dyDescent="0.35">
      <c r="A11" s="16" t="s">
        <v>185</v>
      </c>
      <c r="B11" s="295"/>
      <c r="C11" s="17">
        <v>0</v>
      </c>
      <c r="D11" s="18">
        <v>0</v>
      </c>
      <c r="E11" s="18">
        <v>0</v>
      </c>
      <c r="F11" s="18">
        <v>0</v>
      </c>
      <c r="G11" s="19">
        <v>0</v>
      </c>
      <c r="H11" s="19">
        <v>5</v>
      </c>
      <c r="I11" s="20">
        <v>0</v>
      </c>
      <c r="J11" s="21">
        <v>5</v>
      </c>
      <c r="K11" s="19">
        <v>3</v>
      </c>
      <c r="L11" s="19">
        <v>3</v>
      </c>
      <c r="M11" s="19">
        <v>3</v>
      </c>
      <c r="N11" s="19">
        <v>3</v>
      </c>
      <c r="O11" s="19">
        <v>3</v>
      </c>
      <c r="P11" s="20">
        <v>3.3</v>
      </c>
      <c r="Q11" s="159">
        <v>2</v>
      </c>
      <c r="R11" s="144">
        <v>2</v>
      </c>
      <c r="S11" s="144">
        <v>2</v>
      </c>
      <c r="T11" s="144">
        <v>3</v>
      </c>
      <c r="U11" s="144">
        <f>+T11</f>
        <v>3</v>
      </c>
      <c r="V11" s="144">
        <v>3</v>
      </c>
      <c r="W11" s="144">
        <v>3</v>
      </c>
      <c r="X11" s="144">
        <v>3</v>
      </c>
      <c r="Y11" s="187">
        <v>3</v>
      </c>
      <c r="Z11" s="187">
        <v>3</v>
      </c>
      <c r="AA11" s="187">
        <v>3</v>
      </c>
      <c r="AB11" s="150">
        <v>3</v>
      </c>
      <c r="AC11" s="187">
        <v>0</v>
      </c>
      <c r="AD11" s="150">
        <v>3</v>
      </c>
      <c r="AE11" s="233">
        <v>2</v>
      </c>
      <c r="AF11" s="234">
        <v>2</v>
      </c>
      <c r="AG11" s="144">
        <v>2</v>
      </c>
      <c r="AH11" s="144">
        <v>2</v>
      </c>
      <c r="AI11" s="160">
        <v>2</v>
      </c>
      <c r="AJ11" s="216">
        <v>2</v>
      </c>
      <c r="AK11" s="216">
        <v>2</v>
      </c>
      <c r="AL11" s="234"/>
      <c r="AM11" s="144"/>
      <c r="AN11" s="160"/>
      <c r="AO11" s="160"/>
      <c r="AP11" s="216"/>
      <c r="AQ11" s="197"/>
      <c r="AR11" s="22"/>
      <c r="AS11" s="22"/>
      <c r="AT11" s="22"/>
      <c r="AU11" s="22"/>
    </row>
    <row r="12" spans="1:47" s="16" customFormat="1" ht="33.75" customHeight="1" thickBot="1" x14ac:dyDescent="0.4">
      <c r="A12" s="29" t="s">
        <v>186</v>
      </c>
      <c r="B12" s="296"/>
      <c r="C12" s="23">
        <v>1012</v>
      </c>
      <c r="D12" s="24">
        <v>1119</v>
      </c>
      <c r="E12" s="24">
        <v>1066</v>
      </c>
      <c r="F12" s="24">
        <v>1228</v>
      </c>
      <c r="G12" s="25">
        <v>1120</v>
      </c>
      <c r="H12" s="25">
        <v>1204</v>
      </c>
      <c r="I12" s="26">
        <v>1140</v>
      </c>
      <c r="J12" s="27">
        <v>1183</v>
      </c>
      <c r="K12" s="25">
        <v>1157</v>
      </c>
      <c r="L12" s="25">
        <v>1167</v>
      </c>
      <c r="M12" s="25">
        <v>1112</v>
      </c>
      <c r="N12" s="25">
        <v>1150</v>
      </c>
      <c r="O12" s="25">
        <v>1033</v>
      </c>
      <c r="P12" s="26">
        <v>1108.3</v>
      </c>
      <c r="Q12" s="149">
        <f t="shared" ref="Q12:V12" si="7">SUM(Q10:Q11)</f>
        <v>966</v>
      </c>
      <c r="R12" s="139">
        <f t="shared" si="7"/>
        <v>926</v>
      </c>
      <c r="S12" s="139">
        <f t="shared" si="7"/>
        <v>946</v>
      </c>
      <c r="T12" s="139">
        <f t="shared" si="7"/>
        <v>895</v>
      </c>
      <c r="U12" s="139">
        <f t="shared" si="7"/>
        <v>929</v>
      </c>
      <c r="V12" s="139">
        <f t="shared" si="7"/>
        <v>868</v>
      </c>
      <c r="W12" s="139">
        <f>SUM(W10:W11)</f>
        <v>914</v>
      </c>
      <c r="X12" s="139">
        <f t="shared" ref="X12:Z12" si="8">SUM(X10:X11)</f>
        <v>862.33792900000003</v>
      </c>
      <c r="Y12" s="139">
        <f t="shared" si="8"/>
        <v>845</v>
      </c>
      <c r="Z12" s="139">
        <f t="shared" si="8"/>
        <v>854.33792900000003</v>
      </c>
      <c r="AA12" s="139">
        <f t="shared" ref="AA12:AB12" si="9">SUM(AA10:AA11)</f>
        <v>841</v>
      </c>
      <c r="AB12" s="143">
        <f t="shared" si="9"/>
        <v>850</v>
      </c>
      <c r="AC12" s="139">
        <f t="shared" ref="AC12:AD12" si="10">SUM(AC10:AC11)</f>
        <v>830</v>
      </c>
      <c r="AD12" s="143">
        <f t="shared" si="10"/>
        <v>844.93751992876719</v>
      </c>
      <c r="AE12" s="235">
        <f>SUM(AE10:AE11)</f>
        <v>811</v>
      </c>
      <c r="AF12" s="236">
        <v>797</v>
      </c>
      <c r="AG12" s="139">
        <f t="shared" ref="AG12:AJ12" si="11">SUM(AG10:AG11)</f>
        <v>780.22702800000002</v>
      </c>
      <c r="AH12" s="139">
        <f t="shared" ref="AH12" si="12">SUM(AH10:AH11)</f>
        <v>774</v>
      </c>
      <c r="AI12" s="143">
        <f t="shared" si="11"/>
        <v>790</v>
      </c>
      <c r="AJ12" s="217">
        <f t="shared" si="11"/>
        <v>801.87103498901104</v>
      </c>
      <c r="AK12" s="265">
        <f>SUM(AK10:AK11)</f>
        <v>770.07730184444438</v>
      </c>
      <c r="AL12" s="236">
        <f t="shared" ref="AL12:AP12" si="13">SUM(AL10:AL11)</f>
        <v>0</v>
      </c>
      <c r="AM12" s="139">
        <f t="shared" si="13"/>
        <v>0</v>
      </c>
      <c r="AN12" s="143">
        <f t="shared" si="13"/>
        <v>0</v>
      </c>
      <c r="AO12" s="143">
        <f t="shared" si="13"/>
        <v>0</v>
      </c>
      <c r="AP12" s="217">
        <f t="shared" si="13"/>
        <v>0</v>
      </c>
      <c r="AQ12" s="22"/>
      <c r="AR12" s="22"/>
      <c r="AS12" s="22"/>
      <c r="AT12" s="22"/>
      <c r="AU12" s="22"/>
    </row>
    <row r="13" spans="1:47" x14ac:dyDescent="0.25">
      <c r="C13" s="5"/>
      <c r="D13" s="5"/>
      <c r="E13" s="5"/>
      <c r="F13" s="5"/>
      <c r="G13" s="7"/>
      <c r="H13" s="7"/>
      <c r="I13" s="7"/>
      <c r="J13" s="7"/>
      <c r="K13" s="7"/>
      <c r="L13" s="7"/>
      <c r="M13" s="7"/>
      <c r="N13" s="7"/>
      <c r="O13" s="7"/>
      <c r="P13" s="7"/>
      <c r="Q13" s="141"/>
      <c r="R13" s="141"/>
      <c r="S13" s="141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237"/>
      <c r="AF13" s="237"/>
      <c r="AG13" s="112"/>
      <c r="AH13" s="112"/>
      <c r="AI13" s="112"/>
      <c r="AJ13" s="112"/>
      <c r="AK13" s="237"/>
      <c r="AL13" s="237"/>
      <c r="AM13" s="112"/>
      <c r="AN13" s="112"/>
      <c r="AO13" s="112"/>
      <c r="AP13" s="112"/>
    </row>
    <row r="14" spans="1:47" x14ac:dyDescent="0.25">
      <c r="C14" s="5"/>
      <c r="D14" s="5"/>
      <c r="E14" s="5"/>
      <c r="F14" s="5"/>
      <c r="G14" s="7"/>
      <c r="H14" s="7"/>
      <c r="I14" s="7"/>
      <c r="J14" s="7"/>
      <c r="K14" s="7"/>
      <c r="L14" s="7"/>
      <c r="M14" s="7"/>
      <c r="N14" s="7"/>
      <c r="O14" s="7"/>
      <c r="P14" s="7"/>
      <c r="Q14" s="126"/>
      <c r="R14" s="126"/>
      <c r="S14" s="126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237"/>
      <c r="AF14" s="237"/>
      <c r="AG14" s="112"/>
      <c r="AH14" s="112"/>
      <c r="AI14" s="112"/>
      <c r="AJ14" s="112"/>
      <c r="AK14" s="237"/>
      <c r="AL14" s="237"/>
      <c r="AM14" s="112"/>
      <c r="AN14" s="112"/>
      <c r="AO14" s="112"/>
      <c r="AP14" s="112"/>
    </row>
    <row r="15" spans="1:47" s="16" customFormat="1" ht="16.5" customHeight="1" x14ac:dyDescent="0.35">
      <c r="A15" s="100" t="s">
        <v>187</v>
      </c>
      <c r="B15" s="297" t="s">
        <v>188</v>
      </c>
      <c r="C15" s="108">
        <v>-1.1100000000000001</v>
      </c>
      <c r="D15" s="101">
        <v>-0.5</v>
      </c>
      <c r="E15" s="102">
        <v>-1.57</v>
      </c>
      <c r="F15" s="102">
        <v>-0.21</v>
      </c>
      <c r="G15" s="103">
        <v>-1.73</v>
      </c>
      <c r="H15" s="103">
        <v>1.01</v>
      </c>
      <c r="I15" s="103">
        <v>-0.64</v>
      </c>
      <c r="J15" s="104">
        <v>1.94</v>
      </c>
      <c r="K15" s="103">
        <v>3.47</v>
      </c>
      <c r="L15" s="103">
        <v>5.4</v>
      </c>
      <c r="M15" s="103">
        <v>4.17</v>
      </c>
      <c r="N15" s="103">
        <v>9.52</v>
      </c>
      <c r="O15" s="103">
        <v>3.93</v>
      </c>
      <c r="P15" s="103">
        <v>13.53</v>
      </c>
      <c r="Q15" s="127">
        <v>4.28</v>
      </c>
      <c r="R15" s="128">
        <f t="shared" ref="R15:X15" si="14">+R3/R10</f>
        <v>4.2456709956709959</v>
      </c>
      <c r="S15" s="128">
        <f t="shared" si="14"/>
        <v>8.5254237288135588</v>
      </c>
      <c r="T15" s="128">
        <f t="shared" si="14"/>
        <v>1.1132286995515694</v>
      </c>
      <c r="U15" s="128">
        <f t="shared" si="14"/>
        <v>9.7634989200863931</v>
      </c>
      <c r="V15" s="145">
        <f t="shared" si="14"/>
        <v>0.30173410404624279</v>
      </c>
      <c r="W15" s="145">
        <f t="shared" si="14"/>
        <v>10.210757409440175</v>
      </c>
      <c r="X15" s="145">
        <f t="shared" si="14"/>
        <v>1.2754004717043044</v>
      </c>
      <c r="Y15" s="145">
        <f t="shared" ref="Y15:Z15" si="15">+Y3/Y10</f>
        <v>2.2087881107438716</v>
      </c>
      <c r="Z15" s="145">
        <f t="shared" si="15"/>
        <v>3.4720194071065755</v>
      </c>
      <c r="AA15" s="145">
        <f t="shared" ref="AA15:AB15" si="16">+AA3/AA10</f>
        <v>1.1083368908766351</v>
      </c>
      <c r="AB15" s="145">
        <f t="shared" si="16"/>
        <v>4.5863614239061867</v>
      </c>
      <c r="AC15" s="145">
        <f>IFERROR(+AC3/AC10,0)</f>
        <v>-3.5734939759036144</v>
      </c>
      <c r="AD15" s="145">
        <f>IFERROR(+AD3/AD10,0)</f>
        <v>1.0915299273962191</v>
      </c>
      <c r="AE15" s="128">
        <f t="shared" ref="AE15:AF15" si="17">+AE3/AE10</f>
        <v>1.1600383946962372</v>
      </c>
      <c r="AF15" s="128">
        <f t="shared" si="17"/>
        <v>0.63492330450470491</v>
      </c>
      <c r="AG15" s="145">
        <f t="shared" ref="AG15:AI15" si="18">+AG3/AG10</f>
        <v>0.36891478234618702</v>
      </c>
      <c r="AH15" s="145">
        <f t="shared" ref="AH15" si="19">+AH3/AH10</f>
        <v>-0.50518134715025909</v>
      </c>
      <c r="AI15" s="218">
        <f t="shared" si="18"/>
        <v>1.6992385786802031</v>
      </c>
      <c r="AJ15" s="145">
        <f t="shared" ref="AJ15:AO15" si="20">+AJ3/AJ10</f>
        <v>0</v>
      </c>
      <c r="AK15" s="266">
        <f t="shared" si="20"/>
        <v>0</v>
      </c>
      <c r="AL15" s="128" t="e">
        <f t="shared" si="20"/>
        <v>#DIV/0!</v>
      </c>
      <c r="AM15" s="145" t="e">
        <f t="shared" si="20"/>
        <v>#DIV/0!</v>
      </c>
      <c r="AN15" s="218" t="e">
        <f t="shared" si="20"/>
        <v>#DIV/0!</v>
      </c>
      <c r="AO15" s="218" t="e">
        <f t="shared" si="20"/>
        <v>#DIV/0!</v>
      </c>
      <c r="AP15" s="218" t="e">
        <f t="shared" ref="AP15" si="21">+AP3/AP10</f>
        <v>#DIV/0!</v>
      </c>
      <c r="AQ15" s="110" t="s">
        <v>189</v>
      </c>
      <c r="AR15" s="22"/>
      <c r="AS15" s="22"/>
      <c r="AT15" s="22"/>
      <c r="AU15" s="22"/>
    </row>
    <row r="16" spans="1:47" s="16" customFormat="1" ht="16.5" customHeight="1" x14ac:dyDescent="0.35">
      <c r="A16" s="105" t="s">
        <v>190</v>
      </c>
      <c r="B16" s="298"/>
      <c r="C16" s="109">
        <v>-1.1100000000000001</v>
      </c>
      <c r="D16" s="106">
        <v>-0.5</v>
      </c>
      <c r="E16" s="106">
        <v>-1.57</v>
      </c>
      <c r="F16" s="106">
        <v>-0.21</v>
      </c>
      <c r="G16" s="107">
        <v>-1.73</v>
      </c>
      <c r="H16" s="107">
        <v>1</v>
      </c>
      <c r="I16" s="107">
        <v>-0.64</v>
      </c>
      <c r="J16" s="107">
        <v>1.93</v>
      </c>
      <c r="K16" s="107">
        <v>3.46</v>
      </c>
      <c r="L16" s="107">
        <v>5.39</v>
      </c>
      <c r="M16" s="107">
        <v>4.16</v>
      </c>
      <c r="N16" s="107">
        <v>9.49</v>
      </c>
      <c r="O16" s="107">
        <v>3.92</v>
      </c>
      <c r="P16" s="107">
        <v>13.49</v>
      </c>
      <c r="Q16" s="129">
        <v>4.2699999999999996</v>
      </c>
      <c r="R16" s="129">
        <f t="shared" ref="R16:X16" si="22">R3/R12</f>
        <v>4.2365010799136069</v>
      </c>
      <c r="S16" s="129">
        <f t="shared" si="22"/>
        <v>8.5073995771670194</v>
      </c>
      <c r="T16" s="129">
        <f t="shared" si="22"/>
        <v>1.1094972067039106</v>
      </c>
      <c r="U16" s="129">
        <f t="shared" si="22"/>
        <v>9.7319698600645861</v>
      </c>
      <c r="V16" s="146">
        <f t="shared" si="22"/>
        <v>0.30069124423963134</v>
      </c>
      <c r="W16" s="146">
        <f t="shared" si="22"/>
        <v>10.177242888402626</v>
      </c>
      <c r="X16" s="146">
        <f t="shared" si="22"/>
        <v>1.2709634623992052</v>
      </c>
      <c r="Y16" s="146">
        <f t="shared" ref="Y16:Z16" si="23">Y3/Y12</f>
        <v>2.2009462594631239</v>
      </c>
      <c r="Z16" s="146">
        <f t="shared" si="23"/>
        <v>3.4598274419979775</v>
      </c>
      <c r="AA16" s="146">
        <f t="shared" ref="AA16:AB16" si="24">AA3/AA12</f>
        <v>1.1043832515512726</v>
      </c>
      <c r="AB16" s="146">
        <f t="shared" si="24"/>
        <v>4.5701742659394595</v>
      </c>
      <c r="AC16" s="146">
        <f>IFERROR(AC3/AC12,0)</f>
        <v>-3.5734939759036144</v>
      </c>
      <c r="AD16" s="146">
        <f>IFERROR(AD3/AD12,0)</f>
        <v>1.0876543866550945</v>
      </c>
      <c r="AE16" s="129">
        <f t="shared" ref="AE16:AF16" si="25">AE3/AE12</f>
        <v>1.1571776341667768</v>
      </c>
      <c r="AF16" s="129">
        <f t="shared" si="25"/>
        <v>0.63237139272271015</v>
      </c>
      <c r="AG16" s="146">
        <f t="shared" ref="AG16:AI16" si="26">AG3/AG12</f>
        <v>0.36796912225211964</v>
      </c>
      <c r="AH16" s="146">
        <f>AH15</f>
        <v>-0.50518134715025909</v>
      </c>
      <c r="AI16" s="219">
        <f t="shared" si="26"/>
        <v>1.6949367088607594</v>
      </c>
      <c r="AJ16" s="146">
        <f t="shared" ref="AJ16:AM16" si="27">AJ3/AJ12</f>
        <v>0</v>
      </c>
      <c r="AK16" s="267">
        <f t="shared" si="27"/>
        <v>0</v>
      </c>
      <c r="AL16" s="129" t="e">
        <f t="shared" si="27"/>
        <v>#DIV/0!</v>
      </c>
      <c r="AM16" s="146" t="e">
        <f t="shared" si="27"/>
        <v>#DIV/0!</v>
      </c>
      <c r="AN16" s="219" t="e">
        <f>AN15</f>
        <v>#DIV/0!</v>
      </c>
      <c r="AO16" s="219" t="e">
        <f t="shared" ref="AO16:AP16" si="28">AO3/AO12</f>
        <v>#DIV/0!</v>
      </c>
      <c r="AP16" s="219" t="e">
        <f t="shared" si="28"/>
        <v>#DIV/0!</v>
      </c>
      <c r="AQ16" s="110" t="s">
        <v>189</v>
      </c>
      <c r="AR16" s="22"/>
      <c r="AS16" s="22"/>
      <c r="AT16" s="22"/>
      <c r="AU16" s="22"/>
    </row>
    <row r="17" spans="1:19" x14ac:dyDescent="0.25"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30"/>
      <c r="R17" s="130"/>
      <c r="S17" s="130"/>
    </row>
    <row r="18" spans="1:19" x14ac:dyDescent="0.25">
      <c r="A18" s="4" t="s">
        <v>191</v>
      </c>
      <c r="Q18" s="130"/>
      <c r="R18" s="130"/>
      <c r="S18" s="130"/>
    </row>
    <row r="19" spans="1:19" x14ac:dyDescent="0.25">
      <c r="A19" s="176" t="s">
        <v>239</v>
      </c>
      <c r="B19" s="177"/>
      <c r="C19" s="178"/>
      <c r="D19" s="178"/>
      <c r="E19" s="178"/>
      <c r="F19" s="178"/>
      <c r="G19" s="178"/>
      <c r="H19" s="178"/>
      <c r="I19" s="179"/>
      <c r="J19" s="178"/>
      <c r="K19" s="178"/>
      <c r="L19" s="178"/>
      <c r="M19" s="178"/>
      <c r="N19" s="178"/>
      <c r="O19" s="178"/>
      <c r="P19" s="178"/>
      <c r="Q19" s="178"/>
      <c r="R19" s="178"/>
      <c r="S19" s="178"/>
    </row>
    <row r="20" spans="1:19" x14ac:dyDescent="0.25">
      <c r="B20" s="177"/>
      <c r="C20" s="178"/>
      <c r="D20" s="178"/>
      <c r="E20" s="178"/>
      <c r="F20" s="178"/>
      <c r="G20" s="178"/>
      <c r="H20" s="178"/>
      <c r="I20" s="179"/>
      <c r="J20" s="178"/>
      <c r="K20" s="178"/>
      <c r="L20" s="178"/>
      <c r="M20" s="178"/>
      <c r="N20" s="178"/>
      <c r="O20" s="178"/>
      <c r="P20" s="178"/>
      <c r="Q20" s="178"/>
      <c r="R20" s="178"/>
      <c r="S20" s="178"/>
    </row>
    <row r="21" spans="1:19" x14ac:dyDescent="0.25">
      <c r="B21" s="177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</row>
  </sheetData>
  <mergeCells count="8">
    <mergeCell ref="AN1:AO1"/>
    <mergeCell ref="AH1:AI1"/>
    <mergeCell ref="AC1:AD1"/>
    <mergeCell ref="B5:B12"/>
    <mergeCell ref="B15:B16"/>
    <mergeCell ref="T1:U1"/>
    <mergeCell ref="V1:W1"/>
    <mergeCell ref="AA1:AB1"/>
  </mergeCells>
  <pageMargins left="0.25" right="0.25" top="0.75" bottom="0.75" header="0.3" footer="0.3"/>
  <pageSetup paperSize="9" scale="48" orientation="landscape" r:id="rId1"/>
  <ignoredErrors>
    <ignoredError sqref="AL15:AP16" evalError="1"/>
    <ignoredError sqref="AH16" formula="1"/>
  </ignoredErrors>
</worksheet>
</file>

<file path=docMetadata/LabelInfo.xml><?xml version="1.0" encoding="utf-8"?>
<clbl:labelList xmlns:clbl="http://schemas.microsoft.com/office/2020/mipLabelMetadata">
  <clbl:label id="{37cd273a-1cec-4aae-a297-41480ea54f8d}" enabled="0" method="" siteId="{37cd273a-1cec-4aae-a297-41480ea54f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Share buyback program SBB </vt:lpstr>
      <vt:lpstr>SBB cash</vt:lpstr>
      <vt:lpstr>Shares issued, TS &amp; outstanding</vt:lpstr>
      <vt:lpstr>EPS</vt:lpstr>
      <vt:lpstr>EPS!Print_Area</vt:lpstr>
      <vt:lpstr>'Share buyback program SBB '!Print_Area</vt:lpstr>
      <vt:lpstr>'Shares issued, TS &amp; outstanding'!Print_Area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SCHUMACHER Laurent</dc:creator>
  <cp:keywords/>
  <dc:description/>
  <cp:lastModifiedBy>Bester, Lynn</cp:lastModifiedBy>
  <cp:revision/>
  <cp:lastPrinted>2025-04-02T17:20:12Z</cp:lastPrinted>
  <dcterms:created xsi:type="dcterms:W3CDTF">2022-05-30T08:48:34Z</dcterms:created>
  <dcterms:modified xsi:type="dcterms:W3CDTF">2025-04-08T07:52:57Z</dcterms:modified>
  <cp:category/>
  <cp:contentStatus/>
</cp:coreProperties>
</file>